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832" firstSheet="1" activeTab="1"/>
  </bookViews>
  <sheets>
    <sheet name="Анализ решений по изменению бюд" sheetId="1" state="hidden" r:id="rId1"/>
    <sheet name="Уточнение расходов" sheetId="2" r:id="rId2"/>
    <sheet name="Сравнение расходов с 2018" sheetId="3" r:id="rId3"/>
    <sheet name="Доходы исполнение" sheetId="4" state="hidden" r:id="rId4"/>
    <sheet name="Расходы исполнение" sheetId="5" state="hidden" r:id="rId5"/>
    <sheet name="Программы " sheetId="6" r:id="rId6"/>
  </sheets>
  <definedNames>
    <definedName name="_xlnm.Print_Area" localSheetId="0">'Анализ решений по изменению бюд'!$A$1:$N$91</definedName>
    <definedName name="_xlnm.Print_Area" localSheetId="3">'Доходы исполнение'!$A$1:$G$45</definedName>
    <definedName name="_xlnm.Print_Area" localSheetId="5">'Программы '!$A$1:$F$18</definedName>
    <definedName name="_xlnm.Print_Area" localSheetId="4">'Расходы исполнение'!$A$1:$G$48</definedName>
    <definedName name="_xlnm.Print_Area" localSheetId="2">'Сравнение расходов с 2018'!$A$1:$F$49</definedName>
    <definedName name="_xlnm.Print_Area" localSheetId="1">'Уточнение расходов'!$A$1:$I$49</definedName>
  </definedNames>
  <calcPr fullCalcOnLoad="1"/>
</workbook>
</file>

<file path=xl/sharedStrings.xml><?xml version="1.0" encoding="utf-8"?>
<sst xmlns="http://schemas.openxmlformats.org/spreadsheetml/2006/main" count="536" uniqueCount="264">
  <si>
    <t xml:space="preserve">Доходы </t>
  </si>
  <si>
    <t>Налоговые доходы</t>
  </si>
  <si>
    <t>Собственные доходы, всего</t>
  </si>
  <si>
    <t>1.1.</t>
  </si>
  <si>
    <t>1.2.</t>
  </si>
  <si>
    <t>Неналоговые доходы, всего</t>
  </si>
  <si>
    <t>2.1.</t>
  </si>
  <si>
    <t>2.2.</t>
  </si>
  <si>
    <t>3.1.</t>
  </si>
  <si>
    <t>Всего доходов</t>
  </si>
  <si>
    <t>Безвозмездные поступления, всего</t>
  </si>
  <si>
    <t>Процент исполнения (%)</t>
  </si>
  <si>
    <t>Расходы</t>
  </si>
  <si>
    <t>Общегосударственные вопросы, всего</t>
  </si>
  <si>
    <t>2.</t>
  </si>
  <si>
    <t>3.</t>
  </si>
  <si>
    <t>4.</t>
  </si>
  <si>
    <t>Жилищно-коммунальное хозяйство, всего</t>
  </si>
  <si>
    <t>4.1.</t>
  </si>
  <si>
    <t>5.1.</t>
  </si>
  <si>
    <t>6.</t>
  </si>
  <si>
    <t>6.1.</t>
  </si>
  <si>
    <t>7.</t>
  </si>
  <si>
    <t>7.1.</t>
  </si>
  <si>
    <t>Всего расходов</t>
  </si>
  <si>
    <t>1.3.</t>
  </si>
  <si>
    <t>5.</t>
  </si>
  <si>
    <t>8.1.</t>
  </si>
  <si>
    <t>Сумма изменения</t>
  </si>
  <si>
    <t>Итого сумма изменений</t>
  </si>
  <si>
    <t>2.3.</t>
  </si>
  <si>
    <t>2.4.</t>
  </si>
  <si>
    <t>Абсолютное изменение, тыс.руб.</t>
  </si>
  <si>
    <t>Доля фактических доходов в общей сумме доходов (%)</t>
  </si>
  <si>
    <t>Функционирование высшего должностного лица  органа местного самоуправления</t>
  </si>
  <si>
    <t>Функционирование законодательных органов местного самоуравления</t>
  </si>
  <si>
    <t>Функционирование высших  органов исполнительной власти местных администраций</t>
  </si>
  <si>
    <t>Судебная система</t>
  </si>
  <si>
    <t>1.4.</t>
  </si>
  <si>
    <t>1.5.</t>
  </si>
  <si>
    <t>Обеспечение 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</si>
  <si>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</si>
  <si>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</si>
  <si>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Абсолютное отклонение,  тыс.руб.</t>
  </si>
  <si>
    <t>Национальная экономика, всего</t>
  </si>
  <si>
    <t>Сельское хозяйство и рыболовство</t>
  </si>
  <si>
    <t xml:space="preserve">Другие вопросы в области национальной экономики </t>
  </si>
  <si>
    <t>3.2.</t>
  </si>
  <si>
    <t>Охрана окружающей среды, всего</t>
  </si>
  <si>
    <t xml:space="preserve">Образование, всего </t>
  </si>
  <si>
    <t>Дошкольное образование</t>
  </si>
  <si>
    <t>Доля фактических расходов в общей сумме расходов, %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</si>
  <si>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</si>
  <si>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</si>
  <si>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</si>
  <si>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</si>
  <si>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6.2.</t>
  </si>
  <si>
    <t>Периодическая печать и издательства</t>
  </si>
  <si>
    <t>6.3.</t>
  </si>
  <si>
    <t>7.2.</t>
  </si>
  <si>
    <t>8.2.</t>
  </si>
  <si>
    <t>8.3.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</si>
  <si>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</si>
  <si>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</si>
  <si>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</si>
  <si>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9.1.</t>
  </si>
  <si>
    <t>3.3.</t>
  </si>
  <si>
    <t>Относительное отклонение, %</t>
  </si>
  <si>
    <t>Абсолютное отклонение, тыс.руб.</t>
  </si>
  <si>
    <t>1.2.2. Доходы от продажи материальных и нематериальных активов</t>
  </si>
  <si>
    <t>Процент изменения (%)</t>
  </si>
  <si>
    <t>1.</t>
  </si>
  <si>
    <t>Приложение 1</t>
  </si>
  <si>
    <t>Приложение 6</t>
  </si>
  <si>
    <t>Приложение 7</t>
  </si>
  <si>
    <t xml:space="preserve">Всего </t>
  </si>
  <si>
    <t>8.</t>
  </si>
  <si>
    <t>Дорожное хозяйство</t>
  </si>
  <si>
    <t>Охрана семьи и детства</t>
  </si>
  <si>
    <t>Национальная безопасность и правоохранительная деятельность, всего</t>
  </si>
  <si>
    <t>3.4.</t>
  </si>
  <si>
    <t>4.2.</t>
  </si>
  <si>
    <t>6.4.</t>
  </si>
  <si>
    <t xml:space="preserve">9. </t>
  </si>
  <si>
    <t>9.2.</t>
  </si>
  <si>
    <t>9.3.</t>
  </si>
  <si>
    <t>9.4.</t>
  </si>
  <si>
    <t>9.5.</t>
  </si>
  <si>
    <t>10.</t>
  </si>
  <si>
    <t>10.1.</t>
  </si>
  <si>
    <t>Субсидии бюджетам муниципальных районов, всего</t>
  </si>
  <si>
    <t>Субвенции бюджетам муниципальных районов, всего</t>
  </si>
  <si>
    <t>Иные межбюджетные трансферты бюджетам муниципальных районов</t>
  </si>
  <si>
    <t>Другие вопросы  в области национальной безопасности и правоохранительной деятельности</t>
  </si>
  <si>
    <t>Жилищное хозяйство</t>
  </si>
  <si>
    <t>Коммунальное хозяйство</t>
  </si>
  <si>
    <t>Охрана объектов растительного и животного мира и среды их обитания</t>
  </si>
  <si>
    <t>Пенсионное обеспечение</t>
  </si>
  <si>
    <t>Другие вопросы в области национальной безопасности</t>
  </si>
  <si>
    <t>1.1.1. Налог на доходы физических лиц</t>
  </si>
  <si>
    <t>Дотации бюджетам муниципальных районов на выравнивание бюджетной обеспеченности, всего</t>
  </si>
  <si>
    <t xml:space="preserve">1.6. </t>
  </si>
  <si>
    <t>1.7.</t>
  </si>
  <si>
    <t>Дефицит бюджета, руб.</t>
  </si>
  <si>
    <t>Дефицит бюджета в процентах от собственных доходов, %</t>
  </si>
  <si>
    <t>1.2.6. Прочие неналоговые доходы</t>
  </si>
  <si>
    <t>1.1.2. Единый налог, взимаемый в связи с применением упрощенной системы налогообложения</t>
  </si>
  <si>
    <t>1.1.3. Единый налог на вмененный доход для отдельных видов деятельности</t>
  </si>
  <si>
    <t>1.1.4. Единый сельскохозяйственный налог</t>
  </si>
  <si>
    <t>1.1.5 Транспортный налог</t>
  </si>
  <si>
    <t>1.2.3. Доходы от оказания платных услуг и компенсации затрат</t>
  </si>
  <si>
    <t>2.2.1. Субвенции на оплату услуг ЖКХ отдельным категориям граждан</t>
  </si>
  <si>
    <t>1.2.4. Доходы от перечисления части прибыли, остающейся после уплаты налогов</t>
  </si>
  <si>
    <t>1.2.5. Штрафы, возмещение ущерба</t>
  </si>
  <si>
    <t>2.2.2. Субвенции на осуществление полномочий по подготовке проведения переписи</t>
  </si>
  <si>
    <t>2.2.4. Субвенции на обеспечение мер социальной поддержки реабилитированных лиц</t>
  </si>
  <si>
    <t>2.2.5. Субвенции на ежемесячное денежное вознаграждение за классное руководство</t>
  </si>
  <si>
    <t>2.2.6. Субвенции на предоставление гражданам субсидий на оплату жилого помещения и коммунальных услуг</t>
  </si>
  <si>
    <t>2.2.7. Субвенции на выполнение передаваемых полномочий субъектов РФ</t>
  </si>
  <si>
    <t>2.2.8. Субвенции на содержание ребенка в семье опекуна и приемной семье</t>
  </si>
  <si>
    <t>2.2.9. Субвенции на компенсацию части родительской платы за содержание ребенка в муниципальных дошкольных образовательных учреждениях</t>
  </si>
  <si>
    <t>2.2.10. Субвенции на оздоровление детей</t>
  </si>
  <si>
    <t>2.2.11. Субвенции на обеспечение жильем отдельных категорий граждан</t>
  </si>
  <si>
    <t>1.1.5. Транспортный налог</t>
  </si>
  <si>
    <t>1.1.7. Задолженность и перерасчеты по отмененным налогам и сборам</t>
  </si>
  <si>
    <t>1.1.8. Плата за негативное воздействие на окружающую среду</t>
  </si>
  <si>
    <t>2.3.4. Субсидии на совершенствование организации питания учащихся</t>
  </si>
  <si>
    <t>2.3.5. Субсидии на инвестиции в объекты капитального строительства</t>
  </si>
  <si>
    <t>Анализ корректировок бюджета Череповецкого муниципального района за 2011 год</t>
  </si>
  <si>
    <t>Первоначальный план на 2011  год, тыс.руб.</t>
  </si>
  <si>
    <t>1.1.7. Плата за негативное воздействие на окружающую среду</t>
  </si>
  <si>
    <t>Функционирование органов исполнительной власти местных администраций</t>
  </si>
  <si>
    <t>Защита населения и территории от последствий чрезвычайных ситуаций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</si>
  <si>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</si>
  <si>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</si>
  <si>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</si>
  <si>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Физическая культура</t>
  </si>
  <si>
    <t>10.2.</t>
  </si>
  <si>
    <t>Другие вопросы в области физической культуры и спорта</t>
  </si>
  <si>
    <t>11.</t>
  </si>
  <si>
    <t>11.1.</t>
  </si>
  <si>
    <t>Решение № 303 от 22.02.11.</t>
  </si>
  <si>
    <t xml:space="preserve">Другие вопросы в области культуры </t>
  </si>
  <si>
    <t>Решение № 248 от 18.05.11.</t>
  </si>
  <si>
    <t>Общеэкономические вопросы</t>
  </si>
  <si>
    <t>Решение № 359 от 28.06.11.</t>
  </si>
  <si>
    <t>Решение № 364 от 18.08.11.</t>
  </si>
  <si>
    <t>1.8.</t>
  </si>
  <si>
    <t>Обслуживание муниципального долга</t>
  </si>
  <si>
    <t>Решение № 369 от 21.09.11.</t>
  </si>
  <si>
    <t>Решение № 383 от 26.10.11.</t>
  </si>
  <si>
    <t>Решение № 394 от 30.11.11.</t>
  </si>
  <si>
    <t>Решение № 402 от 14.12.11.</t>
  </si>
  <si>
    <t>Решение № 404 от 21.12.11.</t>
  </si>
  <si>
    <t>2.2.3. Субвенции на составление списков кандидатов в присяжные заседатели</t>
  </si>
  <si>
    <t>Уточненный бюджет на 2011 год</t>
  </si>
  <si>
    <t>2.3.1. Субсидии на обеспечение жильем молодых семей</t>
  </si>
  <si>
    <t>2.3.2. Субсидии на денежные выплаты медицинскому персоналу ФАП, скорой медицинской помощи</t>
  </si>
  <si>
    <t>2.3.3. Субсидии на реализацию федеральных целевых программ</t>
  </si>
  <si>
    <t>2.3.6. Субсидии на осуществление мероприятий по обеспечению жильем граждан, проживающих в сельской местности</t>
  </si>
  <si>
    <t>2.3.7. Прочие субсидии</t>
  </si>
  <si>
    <t>1.1.6 Государственная пошлина за регистрацию и совершение юридически значимых действий</t>
  </si>
  <si>
    <t>Уточненный план на 2011  год, тыс.руб.</t>
  </si>
  <si>
    <t>1.1.6. Государственная пошлина за регистрацию и совершение юридически значимых действий</t>
  </si>
  <si>
    <t>Культура, всего</t>
  </si>
  <si>
    <t>Другие вопросы в области культуры</t>
  </si>
  <si>
    <t>Здравоохранение, всего</t>
  </si>
  <si>
    <t>Социальная политика, всего</t>
  </si>
  <si>
    <t xml:space="preserve">Другие вопросы в области здравоохранения </t>
  </si>
  <si>
    <t>Физическая культура и спорт, всего</t>
  </si>
  <si>
    <t>Средства массовой информации, всего</t>
  </si>
  <si>
    <t>Исполнено за 2011 год, тыс.руб.</t>
  </si>
  <si>
    <t>2.5.</t>
  </si>
  <si>
    <t xml:space="preserve"> Возврат остатков субсидий и субвенций </t>
  </si>
  <si>
    <t>12.</t>
  </si>
  <si>
    <t>Анализ исполнения уточненного плана бюджета Череповецкого муниципального района по доходам за 2011 год</t>
  </si>
  <si>
    <t>Анализ исполнения уточненного плана бюджета Череповецкого муниципального района по расходам за 2011 год</t>
  </si>
  <si>
    <t>9.</t>
  </si>
  <si>
    <t>1.2.1. Доходы от использования имущества, получаемые в виде арендной платы</t>
  </si>
  <si>
    <t>Санитарно-эпидемиологическое благополучие</t>
  </si>
  <si>
    <t>10.1</t>
  </si>
  <si>
    <t>2.1</t>
  </si>
  <si>
    <t>8.1</t>
  </si>
  <si>
    <t>12.1</t>
  </si>
  <si>
    <t>12.2</t>
  </si>
  <si>
    <t>Иные дотации</t>
  </si>
  <si>
    <t>Защита населения и территории от чрезвычайных ситуаций природного и техногенного характера, гражданская оборона</t>
  </si>
  <si>
    <t>4.2</t>
  </si>
  <si>
    <t>4.3.</t>
  </si>
  <si>
    <t>Обслуживание государственного муниципального долга</t>
  </si>
  <si>
    <t>1.6</t>
  </si>
  <si>
    <t>1.7</t>
  </si>
  <si>
    <t>Друие вопросы в области охраны окружающей среды</t>
  </si>
  <si>
    <t>Дополнительное образование детей</t>
  </si>
  <si>
    <t>Культура, кинематография, всего</t>
  </si>
  <si>
    <t>Другие вопросы в области культуры, кинематография</t>
  </si>
  <si>
    <t>Массовый спорт</t>
  </si>
  <si>
    <t>Обслуживание внутреннего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</si>
  <si>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</si>
  <si>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</si>
  <si>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4.3</t>
  </si>
  <si>
    <t>Другие вопросы в области охраны окружающей среды</t>
  </si>
  <si>
    <t xml:space="preserve">Дополнительное образование детей </t>
  </si>
  <si>
    <t>Другие вопросы в области культуры, кинематографии</t>
  </si>
  <si>
    <t>3.1</t>
  </si>
  <si>
    <t>3.2</t>
  </si>
  <si>
    <t>3.3</t>
  </si>
  <si>
    <t>4.1</t>
  </si>
  <si>
    <t>6.3</t>
  </si>
  <si>
    <t>6.4</t>
  </si>
  <si>
    <t>6.2</t>
  </si>
  <si>
    <t>6.1</t>
  </si>
  <si>
    <t>6.5</t>
  </si>
  <si>
    <t>8.2</t>
  </si>
  <si>
    <t>9.2</t>
  </si>
  <si>
    <t>9.3</t>
  </si>
  <si>
    <t>9.1</t>
  </si>
  <si>
    <t>7.1</t>
  </si>
  <si>
    <t>7.2</t>
  </si>
  <si>
    <t>11.1</t>
  </si>
  <si>
    <t>5.1</t>
  </si>
  <si>
    <t>1.1</t>
  </si>
  <si>
    <t>1.2</t>
  </si>
  <si>
    <t>1.3</t>
  </si>
  <si>
    <t>1.4</t>
  </si>
  <si>
    <t>1.5</t>
  </si>
  <si>
    <t>6.5.</t>
  </si>
  <si>
    <t>Исполнено за 2018 год, тыс.руб.</t>
  </si>
  <si>
    <t>Транспорт</t>
  </si>
  <si>
    <t>Благоустройство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</si>
  <si>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</si>
  <si>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</si>
  <si>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</si>
  <si>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</si>
  <si>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общего характера бюджетам субъектов Российской Федерации и  муниципальных образований</t>
  </si>
  <si>
    <t>1.6.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</si>
  <si>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</si>
  <si>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Муниципальная программа "Развитие физической культуры и спорта в Никольском муниципальном районе на 2014-2021 годы"</t>
  </si>
  <si>
    <t>Муниципальная программа "Социальная поддержка граждан Никольского муниципального района на 2017-2021 годы"</t>
  </si>
  <si>
    <t>Муниципальная программа "Развитие сферы культуры Никольского муниципального района на 2014-2021 годы"</t>
  </si>
  <si>
    <t>Муниципальная программа "Развитие образования Никольского муниципального района на 2016-2021 годы"</t>
  </si>
  <si>
    <t>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</si>
  <si>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 программа "Экономическое развитие Никольского муниципального района на 2018-2021 годы"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</si>
  <si>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</si>
  <si>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</si>
  <si>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>Муниципальная  программа "Реализация молодежной политики на территории Никольского муниципального района на 2016-2021 гг."</t>
  </si>
  <si>
    <t>Муниципальная программа "Управление муниципальными финансами Никольского муниципального района на 2016-2021 годы"</t>
  </si>
  <si>
    <t>Муниципальная программа  "Кадровая политика в сфере здравоохранения Никольского муниципального района на 2016-2021 годы"</t>
  </si>
  <si>
    <t>13.</t>
  </si>
  <si>
    <t>Наименование</t>
  </si>
  <si>
    <t>Муниципальная программа "Формирование современной городской среды на территории Никольского муниципального района на 2018-2022 годы"</t>
  </si>
  <si>
    <t>Анализ отклонения уточненного плана бюджета Никольского муниципального района по расходам от первоначально утвержденного на 2019 год и его исполнение</t>
  </si>
  <si>
    <t>Первоначальный план на 2019  год, тыс.руб.</t>
  </si>
  <si>
    <t>Уточненный план на 2019 год, тыс.руб.</t>
  </si>
  <si>
    <t>Исполнено за 2019 год, тыс.руб.</t>
  </si>
  <si>
    <t>Молодежная политика</t>
  </si>
  <si>
    <t>9.4</t>
  </si>
  <si>
    <t>Другие вопросы в области национальной экономики</t>
  </si>
  <si>
    <t>Анализ исполнения  расходной части бюджета Никольского муниципального района за 2018-2019 гг.</t>
  </si>
  <si>
    <t xml:space="preserve">Межбюджетные трансферты общего характера бюджетам субъектов Российской Федерации </t>
  </si>
  <si>
    <t>12.1.</t>
  </si>
  <si>
    <t>12.2.</t>
  </si>
  <si>
    <t>План на 2019 год, тыс.руб.</t>
  </si>
  <si>
    <t>Анализ исполнения муниципальных программ, финансируемых из бюджета Никольского муниципального района за 2019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</si>
</sst>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  <numFmt numFmtId="171" formatCode="###,##0.00"/>
  </numFmts>
  <fonts count="52">
    <font>
      <sz val="10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16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16" fontId="0" fillId="0" borderId="1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164" fontId="0" fillId="0" borderId="1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2" fontId="3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164" fontId="50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164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49" fillId="0" borderId="0" xfId="0" applyFont="1" applyAlignment="1">
      <alignment horizontal="right" vertical="top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49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3" fillId="0" borderId="10" xfId="0" applyNumberFormat="1" applyFont="1" applyBorder="1" applyAlignment="1">
      <alignment wrapText="1"/>
    </xf>
    <xf numFmtId="170" fontId="0" fillId="0" borderId="0" xfId="0" applyNumberFormat="1" applyAlignment="1">
      <alignment horizontal="right" vertical="top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left" vertical="top" wrapText="1"/>
    </xf>
    <xf numFmtId="170" fontId="0" fillId="0" borderId="0" xfId="0" applyNumberFormat="1" applyFont="1" applyAlignment="1">
      <alignment/>
    </xf>
    <xf numFmtId="170" fontId="0" fillId="0" borderId="10" xfId="0" applyNumberFormat="1" applyFont="1" applyBorder="1" applyAlignment="1">
      <alignment horizontal="right" vertical="top" wrapText="1"/>
    </xf>
    <xf numFmtId="170" fontId="0" fillId="0" borderId="10" xfId="0" applyNumberFormat="1" applyFont="1" applyBorder="1" applyAlignment="1">
      <alignment horizontal="left" vertical="top" wrapText="1"/>
    </xf>
    <xf numFmtId="170" fontId="3" fillId="0" borderId="10" xfId="0" applyNumberFormat="1" applyFont="1" applyBorder="1" applyAlignment="1">
      <alignment horizontal="left" vertical="top" wrapText="1"/>
    </xf>
    <xf numFmtId="170" fontId="3" fillId="0" borderId="0" xfId="0" applyNumberFormat="1" applyFont="1" applyAlignment="1">
      <alignment/>
    </xf>
    <xf numFmtId="170" fontId="0" fillId="0" borderId="10" xfId="0" applyNumberFormat="1" applyBorder="1" applyAlignment="1">
      <alignment horizontal="left" vertical="top" wrapText="1"/>
    </xf>
    <xf numFmtId="170" fontId="3" fillId="0" borderId="0" xfId="0" applyNumberFormat="1" applyFont="1" applyAlignment="1">
      <alignment/>
    </xf>
    <xf numFmtId="170" fontId="0" fillId="0" borderId="10" xfId="0" applyNumberFormat="1" applyBorder="1" applyAlignment="1">
      <alignment horizontal="right" vertical="top" wrapText="1"/>
    </xf>
    <xf numFmtId="170" fontId="0" fillId="0" borderId="10" xfId="0" applyNumberFormat="1" applyFont="1" applyBorder="1" applyAlignment="1">
      <alignment horizontal="left" vertical="top" wrapText="1"/>
    </xf>
    <xf numFmtId="170" fontId="3" fillId="0" borderId="11" xfId="0" applyNumberFormat="1" applyFont="1" applyBorder="1" applyAlignment="1">
      <alignment horizontal="left" vertical="top" wrapText="1"/>
    </xf>
    <xf numFmtId="170" fontId="0" fillId="0" borderId="11" xfId="0" applyNumberFormat="1" applyBorder="1" applyAlignment="1">
      <alignment horizontal="right" vertical="top" wrapText="1"/>
    </xf>
    <xf numFmtId="170" fontId="0" fillId="0" borderId="0" xfId="0" applyNumberFormat="1" applyAlignment="1">
      <alignment horizontal="left" vertical="top" wrapText="1"/>
    </xf>
    <xf numFmtId="170" fontId="0" fillId="0" borderId="0" xfId="0" applyNumberFormat="1" applyFont="1" applyAlignment="1">
      <alignment horizontal="right" vertical="top" wrapText="1"/>
    </xf>
    <xf numFmtId="170" fontId="0" fillId="0" borderId="10" xfId="0" applyNumberFormat="1" applyFill="1" applyBorder="1" applyAlignment="1">
      <alignment horizontal="right" vertical="top" wrapText="1"/>
    </xf>
    <xf numFmtId="170" fontId="0" fillId="0" borderId="12" xfId="0" applyNumberForma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left"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 horizontal="left" vertical="center"/>
    </xf>
    <xf numFmtId="170" fontId="7" fillId="0" borderId="11" xfId="0" applyNumberFormat="1" applyFont="1" applyBorder="1" applyAlignment="1">
      <alignment horizontal="left" vertical="center" wrapText="1"/>
    </xf>
    <xf numFmtId="170" fontId="7" fillId="0" borderId="11" xfId="0" applyNumberFormat="1" applyFont="1" applyBorder="1" applyAlignment="1">
      <alignment horizontal="left" vertical="center" wrapText="1"/>
    </xf>
    <xf numFmtId="170" fontId="7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right" vertical="top" wrapText="1"/>
    </xf>
    <xf numFmtId="49" fontId="0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right" vertical="top" wrapText="1"/>
    </xf>
    <xf numFmtId="170" fontId="0" fillId="0" borderId="13" xfId="0" applyNumberFormat="1" applyFont="1" applyBorder="1" applyAlignment="1">
      <alignment horizontal="left" vertical="top" wrapText="1"/>
    </xf>
    <xf numFmtId="170" fontId="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51" fillId="33" borderId="10" xfId="53" applyNumberFormat="1" applyFont="1" applyFill="1" applyBorder="1" applyAlignment="1">
      <alignment horizontal="left" vertical="center" wrapText="1"/>
      <protection/>
    </xf>
    <xf numFmtId="0" fontId="51" fillId="33" borderId="10" xfId="53" applyFont="1" applyFill="1" applyBorder="1" applyAlignment="1">
      <alignment horizontal="center" vertical="center" wrapText="1"/>
      <protection/>
    </xf>
    <xf numFmtId="0" fontId="51" fillId="33" borderId="10" xfId="53" applyFont="1" applyFill="1" applyBorder="1" applyAlignment="1">
      <alignment horizontal="left" vertical="center" wrapText="1"/>
      <protection/>
    </xf>
    <xf numFmtId="170" fontId="51" fillId="33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9" fillId="0" borderId="11" xfId="0" applyNumberFormat="1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/>
    </xf>
    <xf numFmtId="170" fontId="11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0" fontId="0" fillId="0" borderId="0" xfId="0" applyNumberFormat="1" applyAlignment="1">
      <alignment horizontal="right"/>
    </xf>
    <xf numFmtId="170" fontId="3" fillId="0" borderId="14" xfId="0" applyNumberFormat="1" applyFont="1" applyBorder="1" applyAlignment="1">
      <alignment horizontal="center" vertical="center" wrapText="1"/>
    </xf>
    <xf numFmtId="170" fontId="3" fillId="0" borderId="11" xfId="0" applyNumberFormat="1" applyFont="1" applyBorder="1" applyAlignment="1">
      <alignment horizontal="left" vertical="top" wrapText="1"/>
    </xf>
    <xf numFmtId="170" fontId="3" fillId="0" borderId="10" xfId="0" applyNumberFormat="1" applyFont="1" applyBorder="1" applyAlignment="1">
      <alignment horizontal="left" vertical="top" wrapText="1"/>
    </xf>
    <xf numFmtId="170" fontId="0" fillId="0" borderId="0" xfId="0" applyNumberFormat="1" applyAlignment="1">
      <alignment horizontal="right" vertical="top" wrapText="1"/>
    </xf>
    <xf numFmtId="170" fontId="0" fillId="0" borderId="0" xfId="0" applyNumberFormat="1" applyAlignment="1">
      <alignment vertical="top" wrapText="1"/>
    </xf>
    <xf numFmtId="170" fontId="8" fillId="0" borderId="15" xfId="0" applyNumberFormat="1" applyFont="1" applyBorder="1" applyAlignment="1">
      <alignment horizontal="center" vertical="center" wrapText="1"/>
    </xf>
    <xf numFmtId="170" fontId="8" fillId="0" borderId="13" xfId="0" applyNumberFormat="1" applyFont="1" applyBorder="1" applyAlignment="1">
      <alignment horizontal="center" vertical="center" wrapText="1"/>
    </xf>
    <xf numFmtId="170" fontId="3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70" fontId="0" fillId="0" borderId="0" xfId="0" applyNumberFormat="1" applyFont="1" applyAlignment="1">
      <alignment horizontal="right" vertical="center"/>
    </xf>
    <xf numFmtId="170" fontId="9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PageLayoutView="0" workbookViewId="0" topLeftCell="B1">
      <selection activeCell="C14" sqref="C14"/>
    </sheetView>
  </sheetViews>
  <sheetFormatPr defaultColWidth="9.00390625" defaultRowHeight="12.75"/>
  <cols>
    <col min="1" max="1" width="5.375" style="0" customWidth="1"/>
    <col min="2" max="2" width="44.00390625" style="1" customWidth="1"/>
    <col min="3" max="3" width="18.125" style="1" customWidth="1"/>
    <col min="4" max="4" width="9.875" style="0" customWidth="1"/>
    <col min="5" max="5" width="10.75390625" style="0" customWidth="1"/>
    <col min="6" max="6" width="9.75390625" style="0" customWidth="1"/>
    <col min="7" max="7" width="10.125" style="0" customWidth="1"/>
    <col min="8" max="8" width="9.875" style="0" customWidth="1"/>
    <col min="9" max="9" width="9.375" style="0" customWidth="1"/>
    <col min="10" max="10" width="9.875" style="0" customWidth="1"/>
    <col min="11" max="11" width="9.625" style="0" customWidth="1"/>
    <col min="12" max="12" width="10.375" style="0" customWidth="1"/>
    <col min="13" max="13" width="11.125" style="0" customWidth="1"/>
    <col min="14" max="14" width="13.625" style="0" customWidth="1"/>
  </cols>
  <sheetData>
    <row r="1" spans="1:14" ht="12.75">
      <c r="A1" s="143" t="s">
        <v>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9.5" customHeight="1">
      <c r="A2" s="144" t="s">
        <v>128</v>
      </c>
      <c r="B2" s="145"/>
      <c r="C2" s="145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s="37" customFormat="1" ht="51">
      <c r="A3" s="30"/>
      <c r="B3" s="30" t="s">
        <v>0</v>
      </c>
      <c r="C3" s="30" t="s">
        <v>129</v>
      </c>
      <c r="D3" s="30" t="s">
        <v>141</v>
      </c>
      <c r="E3" s="30" t="s">
        <v>143</v>
      </c>
      <c r="F3" s="30" t="s">
        <v>145</v>
      </c>
      <c r="G3" s="30" t="s">
        <v>146</v>
      </c>
      <c r="H3" s="30" t="s">
        <v>149</v>
      </c>
      <c r="I3" s="30" t="s">
        <v>150</v>
      </c>
      <c r="J3" s="30" t="s">
        <v>151</v>
      </c>
      <c r="K3" s="30" t="s">
        <v>152</v>
      </c>
      <c r="L3" s="30" t="s">
        <v>153</v>
      </c>
      <c r="M3" s="36" t="s">
        <v>29</v>
      </c>
      <c r="N3" s="36" t="s">
        <v>155</v>
      </c>
    </row>
    <row r="4" spans="1:14" ht="15.75" customHeight="1">
      <c r="A4" s="54">
        <v>1</v>
      </c>
      <c r="B4" s="55" t="s">
        <v>2</v>
      </c>
      <c r="C4" s="55">
        <f>C5+C13</f>
        <v>121587</v>
      </c>
      <c r="D4" s="55">
        <f aca="true" t="shared" si="0" ref="D4:L4">D5+D13</f>
        <v>8310.5</v>
      </c>
      <c r="E4" s="55">
        <f t="shared" si="0"/>
        <v>3230.8</v>
      </c>
      <c r="F4" s="55">
        <f t="shared" si="0"/>
        <v>985.3</v>
      </c>
      <c r="G4" s="55">
        <f t="shared" si="0"/>
        <v>210</v>
      </c>
      <c r="H4" s="55">
        <f t="shared" si="0"/>
        <v>7884.6</v>
      </c>
      <c r="I4" s="55">
        <f t="shared" si="0"/>
        <v>7573.400000000001</v>
      </c>
      <c r="J4" s="55">
        <f t="shared" si="0"/>
        <v>2500</v>
      </c>
      <c r="K4" s="55">
        <f>K5+K13</f>
        <v>0</v>
      </c>
      <c r="L4" s="55">
        <f t="shared" si="0"/>
        <v>0</v>
      </c>
      <c r="M4" s="56">
        <f aca="true" t="shared" si="1" ref="M4:M22">SUM(D4:L4)</f>
        <v>30694.6</v>
      </c>
      <c r="N4" s="56">
        <f aca="true" t="shared" si="2" ref="N4:N22">M4+C4</f>
        <v>152281.6</v>
      </c>
    </row>
    <row r="5" spans="1:14" s="7" customFormat="1" ht="15.75" customHeight="1">
      <c r="A5" s="57" t="s">
        <v>3</v>
      </c>
      <c r="B5" s="58" t="s">
        <v>1</v>
      </c>
      <c r="C5" s="58">
        <f aca="true" t="shared" si="3" ref="C5:L5">SUM(C6:C12)</f>
        <v>112452</v>
      </c>
      <c r="D5" s="58">
        <f t="shared" si="3"/>
        <v>0</v>
      </c>
      <c r="E5" s="58">
        <f t="shared" si="3"/>
        <v>0</v>
      </c>
      <c r="F5" s="58">
        <f t="shared" si="3"/>
        <v>0</v>
      </c>
      <c r="G5" s="58">
        <f t="shared" si="3"/>
        <v>0</v>
      </c>
      <c r="H5" s="58">
        <f t="shared" si="3"/>
        <v>243</v>
      </c>
      <c r="I5" s="58">
        <f t="shared" si="3"/>
        <v>0</v>
      </c>
      <c r="J5" s="58">
        <f t="shared" si="3"/>
        <v>0</v>
      </c>
      <c r="K5" s="58">
        <f>SUM(K6:K12)</f>
        <v>0</v>
      </c>
      <c r="L5" s="58">
        <f t="shared" si="3"/>
        <v>-2505</v>
      </c>
      <c r="M5" s="59">
        <f t="shared" si="1"/>
        <v>-2262</v>
      </c>
      <c r="N5" s="59">
        <f t="shared" si="2"/>
        <v>110190</v>
      </c>
    </row>
    <row r="6" spans="1:14" s="7" customFormat="1" ht="15" customHeight="1">
      <c r="A6" s="60"/>
      <c r="B6" s="58" t="s">
        <v>99</v>
      </c>
      <c r="C6" s="58">
        <v>76659</v>
      </c>
      <c r="D6" s="58"/>
      <c r="E6" s="58"/>
      <c r="F6" s="58"/>
      <c r="G6" s="58"/>
      <c r="H6" s="58"/>
      <c r="I6" s="58"/>
      <c r="J6" s="58"/>
      <c r="K6" s="58"/>
      <c r="L6" s="58"/>
      <c r="M6" s="59">
        <f t="shared" si="1"/>
        <v>0</v>
      </c>
      <c r="N6" s="59">
        <f t="shared" si="2"/>
        <v>76659</v>
      </c>
    </row>
    <row r="7" spans="1:14" s="7" customFormat="1" ht="37.5" customHeight="1">
      <c r="A7" s="60"/>
      <c r="B7" s="58" t="s">
        <v>106</v>
      </c>
      <c r="C7" s="58">
        <v>7134</v>
      </c>
      <c r="D7" s="58"/>
      <c r="E7" s="58"/>
      <c r="F7" s="58"/>
      <c r="G7" s="58"/>
      <c r="H7" s="58"/>
      <c r="I7" s="58"/>
      <c r="J7" s="58"/>
      <c r="K7" s="58"/>
      <c r="L7" s="58">
        <v>-480</v>
      </c>
      <c r="M7" s="59">
        <f t="shared" si="1"/>
        <v>-480</v>
      </c>
      <c r="N7" s="59">
        <f t="shared" si="2"/>
        <v>6654</v>
      </c>
    </row>
    <row r="8" spans="1:14" s="7" customFormat="1" ht="26.25" customHeight="1">
      <c r="A8" s="60"/>
      <c r="B8" s="58" t="s">
        <v>107</v>
      </c>
      <c r="C8" s="58">
        <v>9109</v>
      </c>
      <c r="D8" s="58"/>
      <c r="E8" s="58"/>
      <c r="F8" s="58"/>
      <c r="G8" s="58"/>
      <c r="H8" s="58"/>
      <c r="I8" s="58"/>
      <c r="J8" s="58"/>
      <c r="K8" s="58"/>
      <c r="L8" s="58">
        <v>1230</v>
      </c>
      <c r="M8" s="59">
        <f t="shared" si="1"/>
        <v>1230</v>
      </c>
      <c r="N8" s="59">
        <f t="shared" si="2"/>
        <v>10339</v>
      </c>
    </row>
    <row r="9" spans="1:14" s="7" customFormat="1" ht="15" customHeight="1">
      <c r="A9" s="60"/>
      <c r="B9" s="58" t="s">
        <v>108</v>
      </c>
      <c r="C9" s="58">
        <v>305</v>
      </c>
      <c r="D9" s="58"/>
      <c r="E9" s="58"/>
      <c r="F9" s="58"/>
      <c r="G9" s="58"/>
      <c r="H9" s="58"/>
      <c r="I9" s="58"/>
      <c r="J9" s="58"/>
      <c r="K9" s="58"/>
      <c r="L9" s="58">
        <v>-305</v>
      </c>
      <c r="M9" s="59">
        <f t="shared" si="1"/>
        <v>-305</v>
      </c>
      <c r="N9" s="59">
        <f t="shared" si="2"/>
        <v>0</v>
      </c>
    </row>
    <row r="10" spans="1:14" s="7" customFormat="1" ht="15" customHeight="1">
      <c r="A10" s="60"/>
      <c r="B10" s="58" t="s">
        <v>109</v>
      </c>
      <c r="C10" s="58">
        <v>17875</v>
      </c>
      <c r="D10" s="58"/>
      <c r="E10" s="58"/>
      <c r="F10" s="58"/>
      <c r="G10" s="58"/>
      <c r="H10" s="58"/>
      <c r="I10" s="58"/>
      <c r="J10" s="58"/>
      <c r="K10" s="58"/>
      <c r="L10" s="58">
        <v>-3000</v>
      </c>
      <c r="M10" s="59">
        <f t="shared" si="1"/>
        <v>-3000</v>
      </c>
      <c r="N10" s="59">
        <f t="shared" si="2"/>
        <v>14875</v>
      </c>
    </row>
    <row r="11" spans="1:14" s="7" customFormat="1" ht="25.5">
      <c r="A11" s="60"/>
      <c r="B11" s="58" t="s">
        <v>161</v>
      </c>
      <c r="C11" s="58">
        <v>45</v>
      </c>
      <c r="D11" s="58"/>
      <c r="E11" s="58"/>
      <c r="F11" s="58"/>
      <c r="G11" s="58"/>
      <c r="H11" s="58"/>
      <c r="I11" s="58"/>
      <c r="J11" s="58"/>
      <c r="K11" s="58"/>
      <c r="L11" s="58">
        <v>-10</v>
      </c>
      <c r="M11" s="59">
        <f>SUM(D11:L11)</f>
        <v>-10</v>
      </c>
      <c r="N11" s="59">
        <f t="shared" si="2"/>
        <v>35</v>
      </c>
    </row>
    <row r="12" spans="1:14" s="7" customFormat="1" ht="25.5">
      <c r="A12" s="58"/>
      <c r="B12" s="58" t="s">
        <v>130</v>
      </c>
      <c r="C12" s="59">
        <v>1325</v>
      </c>
      <c r="D12" s="59"/>
      <c r="E12" s="59"/>
      <c r="F12" s="59"/>
      <c r="G12" s="59"/>
      <c r="H12" s="59">
        <v>243</v>
      </c>
      <c r="I12" s="59"/>
      <c r="J12" s="59"/>
      <c r="K12" s="59"/>
      <c r="L12" s="59">
        <v>60</v>
      </c>
      <c r="M12" s="59">
        <f t="shared" si="1"/>
        <v>303</v>
      </c>
      <c r="N12" s="59">
        <f t="shared" si="2"/>
        <v>1628</v>
      </c>
    </row>
    <row r="13" spans="1:14" s="7" customFormat="1" ht="15" customHeight="1">
      <c r="A13" s="61" t="s">
        <v>4</v>
      </c>
      <c r="B13" s="58" t="s">
        <v>5</v>
      </c>
      <c r="C13" s="58">
        <f aca="true" t="shared" si="4" ref="C13:L13">SUM(C14:C19)</f>
        <v>9135</v>
      </c>
      <c r="D13" s="58">
        <f t="shared" si="4"/>
        <v>8310.5</v>
      </c>
      <c r="E13" s="58">
        <f t="shared" si="4"/>
        <v>3230.8</v>
      </c>
      <c r="F13" s="58">
        <f t="shared" si="4"/>
        <v>985.3</v>
      </c>
      <c r="G13" s="58">
        <f t="shared" si="4"/>
        <v>210</v>
      </c>
      <c r="H13" s="58">
        <f t="shared" si="4"/>
        <v>7641.6</v>
      </c>
      <c r="I13" s="58">
        <f t="shared" si="4"/>
        <v>7573.400000000001</v>
      </c>
      <c r="J13" s="58">
        <f t="shared" si="4"/>
        <v>2500</v>
      </c>
      <c r="K13" s="58">
        <f t="shared" si="4"/>
        <v>0</v>
      </c>
      <c r="L13" s="58">
        <f t="shared" si="4"/>
        <v>2505</v>
      </c>
      <c r="M13" s="59">
        <f>SUM(D13:L13)</f>
        <v>32956.6</v>
      </c>
      <c r="N13" s="59">
        <f t="shared" si="2"/>
        <v>42091.6</v>
      </c>
    </row>
    <row r="14" spans="1:14" s="7" customFormat="1" ht="27" customHeight="1">
      <c r="A14" s="61"/>
      <c r="B14" s="58" t="s">
        <v>178</v>
      </c>
      <c r="C14" s="58">
        <v>6533</v>
      </c>
      <c r="D14" s="58"/>
      <c r="E14" s="58">
        <v>3230.8</v>
      </c>
      <c r="F14" s="58">
        <v>500</v>
      </c>
      <c r="G14" s="58">
        <v>7500</v>
      </c>
      <c r="H14" s="58">
        <f>1692.4+217+456</f>
        <v>2365.4</v>
      </c>
      <c r="I14" s="58">
        <v>4782.8</v>
      </c>
      <c r="J14" s="58"/>
      <c r="K14" s="58"/>
      <c r="L14" s="58">
        <v>100</v>
      </c>
      <c r="M14" s="59">
        <f t="shared" si="1"/>
        <v>18479</v>
      </c>
      <c r="N14" s="59">
        <f t="shared" si="2"/>
        <v>25012</v>
      </c>
    </row>
    <row r="15" spans="1:14" s="7" customFormat="1" ht="25.5">
      <c r="A15" s="61"/>
      <c r="B15" s="58" t="s">
        <v>69</v>
      </c>
      <c r="C15" s="58">
        <v>2202</v>
      </c>
      <c r="D15" s="58">
        <v>8310.5</v>
      </c>
      <c r="E15" s="58"/>
      <c r="F15" s="58">
        <v>485.3</v>
      </c>
      <c r="G15" s="58">
        <v>-7500</v>
      </c>
      <c r="H15" s="58">
        <f>579.7+235+1287.5+750</f>
        <v>2852.2</v>
      </c>
      <c r="I15" s="58">
        <v>2550.5</v>
      </c>
      <c r="J15" s="58"/>
      <c r="K15" s="58"/>
      <c r="L15" s="58">
        <v>65</v>
      </c>
      <c r="M15" s="59">
        <f t="shared" si="1"/>
        <v>6763.499999999999</v>
      </c>
      <c r="N15" s="59">
        <f t="shared" si="2"/>
        <v>8965.5</v>
      </c>
    </row>
    <row r="16" spans="1:14" s="7" customFormat="1" ht="25.5">
      <c r="A16" s="61"/>
      <c r="B16" s="58" t="s">
        <v>110</v>
      </c>
      <c r="C16" s="58">
        <v>390</v>
      </c>
      <c r="D16" s="58"/>
      <c r="E16" s="58"/>
      <c r="F16" s="58"/>
      <c r="G16" s="58"/>
      <c r="H16" s="58">
        <v>300</v>
      </c>
      <c r="I16" s="58"/>
      <c r="J16" s="58"/>
      <c r="K16" s="58"/>
      <c r="L16" s="58">
        <v>140</v>
      </c>
      <c r="M16" s="59">
        <f t="shared" si="1"/>
        <v>440</v>
      </c>
      <c r="N16" s="59">
        <f t="shared" si="2"/>
        <v>830</v>
      </c>
    </row>
    <row r="17" spans="1:14" s="7" customFormat="1" ht="27" customHeight="1">
      <c r="A17" s="61"/>
      <c r="B17" s="58" t="s">
        <v>112</v>
      </c>
      <c r="C17" s="58"/>
      <c r="D17" s="58"/>
      <c r="E17" s="58"/>
      <c r="F17" s="58"/>
      <c r="G17" s="58"/>
      <c r="H17" s="58">
        <v>434</v>
      </c>
      <c r="I17" s="58">
        <v>240.1</v>
      </c>
      <c r="J17" s="58">
        <v>500</v>
      </c>
      <c r="K17" s="58"/>
      <c r="L17" s="58">
        <v>200</v>
      </c>
      <c r="M17" s="59">
        <f t="shared" si="1"/>
        <v>1374.1</v>
      </c>
      <c r="N17" s="59">
        <f t="shared" si="2"/>
        <v>1374.1</v>
      </c>
    </row>
    <row r="18" spans="1:14" s="7" customFormat="1" ht="14.25" customHeight="1">
      <c r="A18" s="61"/>
      <c r="B18" s="58" t="s">
        <v>113</v>
      </c>
      <c r="C18" s="58"/>
      <c r="D18" s="58"/>
      <c r="E18" s="58"/>
      <c r="F18" s="58"/>
      <c r="G18" s="58">
        <v>210</v>
      </c>
      <c r="H18" s="58">
        <v>1690</v>
      </c>
      <c r="I18" s="58"/>
      <c r="J18" s="58">
        <v>2000</v>
      </c>
      <c r="K18" s="58"/>
      <c r="L18" s="58">
        <v>2000</v>
      </c>
      <c r="M18" s="59">
        <f t="shared" si="1"/>
        <v>5900</v>
      </c>
      <c r="N18" s="59">
        <f t="shared" si="2"/>
        <v>5900</v>
      </c>
    </row>
    <row r="19" spans="1:14" s="7" customFormat="1" ht="14.25" customHeight="1">
      <c r="A19" s="61"/>
      <c r="B19" s="58" t="s">
        <v>105</v>
      </c>
      <c r="C19" s="58">
        <v>10</v>
      </c>
      <c r="D19" s="58"/>
      <c r="E19" s="58"/>
      <c r="F19" s="58"/>
      <c r="G19" s="58"/>
      <c r="H19" s="58"/>
      <c r="I19" s="58"/>
      <c r="J19" s="58"/>
      <c r="K19" s="58"/>
      <c r="L19" s="58"/>
      <c r="M19" s="59">
        <f t="shared" si="1"/>
        <v>0</v>
      </c>
      <c r="N19" s="59">
        <f t="shared" si="2"/>
        <v>10</v>
      </c>
    </row>
    <row r="20" spans="1:14" ht="15.75" customHeight="1">
      <c r="A20" s="54">
        <v>2</v>
      </c>
      <c r="B20" s="55" t="s">
        <v>10</v>
      </c>
      <c r="C20" s="55">
        <f aca="true" t="shared" si="5" ref="C20:L20">C21+C22+C34+C42</f>
        <v>467308.89999999997</v>
      </c>
      <c r="D20" s="55">
        <f t="shared" si="5"/>
        <v>5142.1</v>
      </c>
      <c r="E20" s="55">
        <f t="shared" si="5"/>
        <v>28462</v>
      </c>
      <c r="F20" s="55">
        <f t="shared" si="5"/>
        <v>0</v>
      </c>
      <c r="G20" s="55">
        <f t="shared" si="5"/>
        <v>0</v>
      </c>
      <c r="H20" s="55">
        <f t="shared" si="5"/>
        <v>34004.6</v>
      </c>
      <c r="I20" s="55">
        <f t="shared" si="5"/>
        <v>330.3999999999994</v>
      </c>
      <c r="J20" s="55">
        <f t="shared" si="5"/>
        <v>2029.1</v>
      </c>
      <c r="K20" s="55">
        <f t="shared" si="5"/>
        <v>49760.4</v>
      </c>
      <c r="L20" s="55">
        <f t="shared" si="5"/>
        <v>6752.700000000001</v>
      </c>
      <c r="M20" s="56">
        <f t="shared" si="1"/>
        <v>126481.3</v>
      </c>
      <c r="N20" s="62">
        <f t="shared" si="2"/>
        <v>593790.2</v>
      </c>
    </row>
    <row r="21" spans="1:14" s="7" customFormat="1" ht="30" customHeight="1">
      <c r="A21" s="61" t="s">
        <v>6</v>
      </c>
      <c r="B21" s="58" t="s">
        <v>100</v>
      </c>
      <c r="C21" s="58">
        <v>142949.6</v>
      </c>
      <c r="D21" s="58"/>
      <c r="E21" s="58"/>
      <c r="F21" s="58"/>
      <c r="G21" s="58"/>
      <c r="H21" s="58">
        <v>4270</v>
      </c>
      <c r="I21" s="58"/>
      <c r="J21" s="63"/>
      <c r="K21" s="58"/>
      <c r="L21" s="58">
        <v>6000</v>
      </c>
      <c r="M21" s="59">
        <f t="shared" si="1"/>
        <v>10270</v>
      </c>
      <c r="N21" s="59">
        <f t="shared" si="2"/>
        <v>153219.6</v>
      </c>
    </row>
    <row r="22" spans="1:14" s="7" customFormat="1" ht="25.5">
      <c r="A22" s="61" t="s">
        <v>7</v>
      </c>
      <c r="B22" s="58" t="s">
        <v>91</v>
      </c>
      <c r="C22" s="58">
        <f aca="true" t="shared" si="6" ref="C22:L22">SUM(C23:C33)</f>
        <v>281140.1</v>
      </c>
      <c r="D22" s="58">
        <f t="shared" si="6"/>
        <v>0</v>
      </c>
      <c r="E22" s="58">
        <f t="shared" si="6"/>
        <v>23309.3</v>
      </c>
      <c r="F22" s="58">
        <f t="shared" si="6"/>
        <v>0</v>
      </c>
      <c r="G22" s="58">
        <f t="shared" si="6"/>
        <v>0</v>
      </c>
      <c r="H22" s="58">
        <f t="shared" si="6"/>
        <v>21367.7</v>
      </c>
      <c r="I22" s="58">
        <f t="shared" si="6"/>
        <v>1042.7999999999993</v>
      </c>
      <c r="J22" s="58">
        <f t="shared" si="6"/>
        <v>2212.7</v>
      </c>
      <c r="K22" s="58">
        <f t="shared" si="6"/>
        <v>47465</v>
      </c>
      <c r="L22" s="58">
        <f t="shared" si="6"/>
        <v>-1435</v>
      </c>
      <c r="M22" s="59">
        <f t="shared" si="1"/>
        <v>93962.5</v>
      </c>
      <c r="N22" s="64">
        <f t="shared" si="2"/>
        <v>375102.6</v>
      </c>
    </row>
    <row r="23" spans="1:14" s="7" customFormat="1" ht="25.5">
      <c r="A23" s="61"/>
      <c r="B23" s="58" t="s">
        <v>111</v>
      </c>
      <c r="C23" s="58">
        <v>14141.6</v>
      </c>
      <c r="D23" s="58"/>
      <c r="E23" s="58"/>
      <c r="F23" s="58"/>
      <c r="G23" s="58"/>
      <c r="H23" s="58"/>
      <c r="I23" s="58">
        <v>883.9</v>
      </c>
      <c r="J23" s="58"/>
      <c r="K23" s="58">
        <v>2025.5</v>
      </c>
      <c r="L23" s="58"/>
      <c r="M23" s="59">
        <f aca="true" t="shared" si="7" ref="M23:M41">SUM(D23:L23)</f>
        <v>2909.4</v>
      </c>
      <c r="N23" s="59">
        <f aca="true" t="shared" si="8" ref="N23:N42">M23+C23</f>
        <v>17051</v>
      </c>
    </row>
    <row r="24" spans="1:14" s="7" customFormat="1" ht="27.75" customHeight="1">
      <c r="A24" s="61"/>
      <c r="B24" s="58" t="s">
        <v>114</v>
      </c>
      <c r="C24" s="58">
        <v>644</v>
      </c>
      <c r="D24" s="58"/>
      <c r="E24" s="58"/>
      <c r="F24" s="58"/>
      <c r="G24" s="58"/>
      <c r="H24" s="58"/>
      <c r="I24" s="58"/>
      <c r="J24" s="58"/>
      <c r="K24" s="58"/>
      <c r="L24" s="58"/>
      <c r="M24" s="59">
        <f>SUM(D24:L24)</f>
        <v>0</v>
      </c>
      <c r="N24" s="59">
        <f>M24+C24</f>
        <v>644</v>
      </c>
    </row>
    <row r="25" spans="1:14" s="7" customFormat="1" ht="29.25" customHeight="1">
      <c r="A25" s="61"/>
      <c r="B25" s="58" t="s">
        <v>154</v>
      </c>
      <c r="C25" s="58"/>
      <c r="D25" s="58"/>
      <c r="E25" s="58">
        <v>3.5</v>
      </c>
      <c r="F25" s="58"/>
      <c r="G25" s="58"/>
      <c r="H25" s="58">
        <v>1.7</v>
      </c>
      <c r="I25" s="58"/>
      <c r="J25" s="58"/>
      <c r="K25" s="58"/>
      <c r="L25" s="58"/>
      <c r="M25" s="59">
        <f>SUM(D25:L25)</f>
        <v>5.2</v>
      </c>
      <c r="N25" s="59">
        <f>M25+C25</f>
        <v>5.2</v>
      </c>
    </row>
    <row r="26" spans="1:14" s="7" customFormat="1" ht="26.25" customHeight="1">
      <c r="A26" s="61"/>
      <c r="B26" s="58" t="s">
        <v>115</v>
      </c>
      <c r="C26" s="58">
        <v>382.9</v>
      </c>
      <c r="D26" s="58"/>
      <c r="E26" s="58"/>
      <c r="F26" s="58"/>
      <c r="G26" s="58"/>
      <c r="H26" s="58"/>
      <c r="I26" s="58"/>
      <c r="J26" s="58"/>
      <c r="K26" s="58"/>
      <c r="L26" s="58"/>
      <c r="M26" s="59">
        <f>SUM(D26:L26)</f>
        <v>0</v>
      </c>
      <c r="N26" s="59">
        <f>M26+C26</f>
        <v>382.9</v>
      </c>
    </row>
    <row r="27" spans="1:14" s="7" customFormat="1" ht="25.5" customHeight="1">
      <c r="A27" s="61"/>
      <c r="B27" s="58" t="s">
        <v>116</v>
      </c>
      <c r="C27" s="58"/>
      <c r="D27" s="58"/>
      <c r="E27" s="58">
        <v>2808.4</v>
      </c>
      <c r="F27" s="58"/>
      <c r="G27" s="58"/>
      <c r="H27" s="58"/>
      <c r="I27" s="58"/>
      <c r="J27" s="58"/>
      <c r="K27" s="58"/>
      <c r="L27" s="58"/>
      <c r="M27" s="59">
        <f>SUM(D27:L27)</f>
        <v>2808.4</v>
      </c>
      <c r="N27" s="59">
        <f>M27+C27</f>
        <v>2808.4</v>
      </c>
    </row>
    <row r="28" spans="1:14" s="7" customFormat="1" ht="38.25">
      <c r="A28" s="61"/>
      <c r="B28" s="58" t="s">
        <v>117</v>
      </c>
      <c r="C28" s="58">
        <v>41749.1</v>
      </c>
      <c r="D28" s="58"/>
      <c r="E28" s="58"/>
      <c r="F28" s="58"/>
      <c r="G28" s="58"/>
      <c r="H28" s="58"/>
      <c r="I28" s="58">
        <v>-13383.1</v>
      </c>
      <c r="J28" s="58"/>
      <c r="K28" s="58">
        <v>-5121.5</v>
      </c>
      <c r="L28" s="58">
        <v>-361</v>
      </c>
      <c r="M28" s="59">
        <f t="shared" si="7"/>
        <v>-18865.6</v>
      </c>
      <c r="N28" s="59">
        <f t="shared" si="8"/>
        <v>22883.5</v>
      </c>
    </row>
    <row r="29" spans="1:14" s="7" customFormat="1" ht="30" customHeight="1">
      <c r="A29" s="61"/>
      <c r="B29" s="58" t="s">
        <v>118</v>
      </c>
      <c r="C29" s="58">
        <v>209101.4</v>
      </c>
      <c r="D29" s="58"/>
      <c r="E29" s="58">
        <f>-23.6-43.2</f>
        <v>-66.80000000000001</v>
      </c>
      <c r="F29" s="58"/>
      <c r="G29" s="58"/>
      <c r="H29" s="58">
        <v>500</v>
      </c>
      <c r="I29" s="58">
        <v>13542</v>
      </c>
      <c r="J29" s="58">
        <f>1135.3+677.3</f>
        <v>1812.6</v>
      </c>
      <c r="K29" s="58">
        <v>16591.6</v>
      </c>
      <c r="L29" s="58">
        <v>-701.1</v>
      </c>
      <c r="M29" s="59">
        <f t="shared" si="7"/>
        <v>31678.300000000003</v>
      </c>
      <c r="N29" s="59">
        <f t="shared" si="8"/>
        <v>240779.7</v>
      </c>
    </row>
    <row r="30" spans="1:14" s="7" customFormat="1" ht="30" customHeight="1">
      <c r="A30" s="61"/>
      <c r="B30" s="58" t="s">
        <v>119</v>
      </c>
      <c r="C30" s="58">
        <v>9261.8</v>
      </c>
      <c r="D30" s="58"/>
      <c r="E30" s="58">
        <v>236</v>
      </c>
      <c r="F30" s="58"/>
      <c r="G30" s="58"/>
      <c r="H30" s="58"/>
      <c r="I30" s="58"/>
      <c r="J30" s="58"/>
      <c r="K30" s="58"/>
      <c r="L30" s="58">
        <v>-372.9</v>
      </c>
      <c r="M30" s="59">
        <f t="shared" si="7"/>
        <v>-136.89999999999998</v>
      </c>
      <c r="N30" s="59">
        <f t="shared" si="8"/>
        <v>9124.9</v>
      </c>
    </row>
    <row r="31" spans="1:14" s="7" customFormat="1" ht="51">
      <c r="A31" s="61"/>
      <c r="B31" s="58" t="s">
        <v>120</v>
      </c>
      <c r="C31" s="58">
        <v>2455.6</v>
      </c>
      <c r="D31" s="58"/>
      <c r="E31" s="58">
        <v>800</v>
      </c>
      <c r="F31" s="58"/>
      <c r="G31" s="58"/>
      <c r="H31" s="58">
        <v>310</v>
      </c>
      <c r="I31" s="58"/>
      <c r="J31" s="58">
        <v>400.1</v>
      </c>
      <c r="K31" s="58">
        <v>489.4</v>
      </c>
      <c r="L31" s="58"/>
      <c r="M31" s="59">
        <f t="shared" si="7"/>
        <v>1999.5</v>
      </c>
      <c r="N31" s="59">
        <f t="shared" si="8"/>
        <v>4455.1</v>
      </c>
    </row>
    <row r="32" spans="1:14" s="7" customFormat="1" ht="18" customHeight="1">
      <c r="A32" s="61"/>
      <c r="B32" s="58" t="s">
        <v>121</v>
      </c>
      <c r="C32" s="58">
        <v>1862</v>
      </c>
      <c r="D32" s="58"/>
      <c r="E32" s="58"/>
      <c r="F32" s="58"/>
      <c r="G32" s="58"/>
      <c r="H32" s="58"/>
      <c r="I32" s="58"/>
      <c r="J32" s="58"/>
      <c r="K32" s="58"/>
      <c r="L32" s="58"/>
      <c r="M32" s="59">
        <f>SUM(D32:L32)</f>
        <v>0</v>
      </c>
      <c r="N32" s="59">
        <f>M32+C32</f>
        <v>1862</v>
      </c>
    </row>
    <row r="33" spans="1:14" s="7" customFormat="1" ht="30.75" customHeight="1">
      <c r="A33" s="61"/>
      <c r="B33" s="58" t="s">
        <v>122</v>
      </c>
      <c r="C33" s="58">
        <v>1541.7</v>
      </c>
      <c r="D33" s="58"/>
      <c r="E33" s="58">
        <v>19528.2</v>
      </c>
      <c r="F33" s="58"/>
      <c r="G33" s="58"/>
      <c r="H33" s="58">
        <v>20556</v>
      </c>
      <c r="I33" s="58"/>
      <c r="J33" s="58"/>
      <c r="K33" s="58">
        <v>33480</v>
      </c>
      <c r="L33" s="58"/>
      <c r="M33" s="59">
        <f t="shared" si="7"/>
        <v>73564.2</v>
      </c>
      <c r="N33" s="59">
        <f t="shared" si="8"/>
        <v>75105.9</v>
      </c>
    </row>
    <row r="34" spans="1:14" s="7" customFormat="1" ht="25.5">
      <c r="A34" s="61" t="s">
        <v>30</v>
      </c>
      <c r="B34" s="58" t="s">
        <v>90</v>
      </c>
      <c r="C34" s="58">
        <f aca="true" t="shared" si="9" ref="C34:L34">SUM(C35:C41)</f>
        <v>43219.2</v>
      </c>
      <c r="D34" s="58">
        <f t="shared" si="9"/>
        <v>0</v>
      </c>
      <c r="E34" s="58">
        <f t="shared" si="9"/>
        <v>4601.200000000001</v>
      </c>
      <c r="F34" s="58">
        <f t="shared" si="9"/>
        <v>0</v>
      </c>
      <c r="G34" s="58">
        <f t="shared" si="9"/>
        <v>0</v>
      </c>
      <c r="H34" s="58">
        <f t="shared" si="9"/>
        <v>151.5</v>
      </c>
      <c r="I34" s="58">
        <f t="shared" si="9"/>
        <v>-1227.3999999999999</v>
      </c>
      <c r="J34" s="58">
        <f t="shared" si="9"/>
        <v>-183.6</v>
      </c>
      <c r="K34" s="58">
        <f t="shared" si="9"/>
        <v>2244.7999999999997</v>
      </c>
      <c r="L34" s="58">
        <f t="shared" si="9"/>
        <v>2187.7000000000003</v>
      </c>
      <c r="M34" s="59">
        <f t="shared" si="7"/>
        <v>7774.200000000001</v>
      </c>
      <c r="N34" s="59">
        <f t="shared" si="8"/>
        <v>50993.399999999994</v>
      </c>
    </row>
    <row r="35" spans="1:14" s="7" customFormat="1" ht="25.5">
      <c r="A35" s="61"/>
      <c r="B35" s="58" t="s">
        <v>156</v>
      </c>
      <c r="C35" s="58">
        <v>150</v>
      </c>
      <c r="D35" s="58"/>
      <c r="E35" s="58"/>
      <c r="F35" s="58"/>
      <c r="G35" s="58"/>
      <c r="H35" s="58">
        <v>346.5</v>
      </c>
      <c r="I35" s="58"/>
      <c r="J35" s="58">
        <v>-47.3</v>
      </c>
      <c r="K35" s="58"/>
      <c r="L35" s="58"/>
      <c r="M35" s="59">
        <f>SUM(D35:L35)</f>
        <v>299.2</v>
      </c>
      <c r="N35" s="59">
        <f>M35+C35</f>
        <v>449.2</v>
      </c>
    </row>
    <row r="36" spans="1:14" s="7" customFormat="1" ht="38.25">
      <c r="A36" s="61"/>
      <c r="B36" s="58" t="s">
        <v>157</v>
      </c>
      <c r="C36" s="58">
        <v>2345</v>
      </c>
      <c r="D36" s="58"/>
      <c r="E36" s="58"/>
      <c r="F36" s="58"/>
      <c r="G36" s="58"/>
      <c r="H36" s="58"/>
      <c r="I36" s="58"/>
      <c r="J36" s="58"/>
      <c r="K36" s="58"/>
      <c r="L36" s="58"/>
      <c r="M36" s="59">
        <f>SUM(D36:L36)</f>
        <v>0</v>
      </c>
      <c r="N36" s="59">
        <f>M36+C36</f>
        <v>2345</v>
      </c>
    </row>
    <row r="37" spans="1:14" s="7" customFormat="1" ht="25.5">
      <c r="A37" s="61"/>
      <c r="B37" s="58" t="s">
        <v>158</v>
      </c>
      <c r="C37" s="58"/>
      <c r="D37" s="58"/>
      <c r="E37" s="58"/>
      <c r="F37" s="58"/>
      <c r="G37" s="58"/>
      <c r="H37" s="58"/>
      <c r="I37" s="58">
        <v>402.9</v>
      </c>
      <c r="J37" s="58">
        <v>-38.3</v>
      </c>
      <c r="K37" s="58"/>
      <c r="L37" s="58"/>
      <c r="M37" s="59">
        <f t="shared" si="7"/>
        <v>364.59999999999997</v>
      </c>
      <c r="N37" s="59">
        <f t="shared" si="8"/>
        <v>364.59999999999997</v>
      </c>
    </row>
    <row r="38" spans="1:14" s="7" customFormat="1" ht="25.5">
      <c r="A38" s="61"/>
      <c r="B38" s="58" t="s">
        <v>126</v>
      </c>
      <c r="C38" s="58">
        <v>7747.1</v>
      </c>
      <c r="D38" s="58"/>
      <c r="E38" s="58"/>
      <c r="F38" s="58"/>
      <c r="G38" s="58"/>
      <c r="H38" s="58"/>
      <c r="I38" s="58">
        <v>-478.9</v>
      </c>
      <c r="J38" s="58"/>
      <c r="K38" s="58"/>
      <c r="L38" s="58"/>
      <c r="M38" s="59">
        <f t="shared" si="7"/>
        <v>-478.9</v>
      </c>
      <c r="N38" s="59">
        <f t="shared" si="8"/>
        <v>7268.200000000001</v>
      </c>
    </row>
    <row r="39" spans="1:14" s="7" customFormat="1" ht="25.5">
      <c r="A39" s="61"/>
      <c r="B39" s="58" t="s">
        <v>127</v>
      </c>
      <c r="C39" s="58">
        <v>8600</v>
      </c>
      <c r="D39" s="58"/>
      <c r="E39" s="58"/>
      <c r="F39" s="58"/>
      <c r="G39" s="58"/>
      <c r="H39" s="58"/>
      <c r="I39" s="58"/>
      <c r="J39" s="58"/>
      <c r="K39" s="58"/>
      <c r="L39" s="58"/>
      <c r="M39" s="59">
        <f t="shared" si="7"/>
        <v>0</v>
      </c>
      <c r="N39" s="59">
        <f t="shared" si="8"/>
        <v>8600</v>
      </c>
    </row>
    <row r="40" spans="1:14" s="7" customFormat="1" ht="44.25" customHeight="1">
      <c r="A40" s="61"/>
      <c r="B40" s="58" t="s">
        <v>159</v>
      </c>
      <c r="C40" s="58">
        <v>7948.1</v>
      </c>
      <c r="D40" s="58"/>
      <c r="E40" s="58">
        <f>1701.2+2587.4</f>
        <v>4288.6</v>
      </c>
      <c r="F40" s="58"/>
      <c r="G40" s="58"/>
      <c r="H40" s="58"/>
      <c r="I40" s="58">
        <v>-2181.6</v>
      </c>
      <c r="J40" s="58"/>
      <c r="K40" s="58">
        <v>2254.2</v>
      </c>
      <c r="L40" s="58">
        <v>2423.4</v>
      </c>
      <c r="M40" s="59">
        <f t="shared" si="7"/>
        <v>6784.6</v>
      </c>
      <c r="N40" s="59">
        <f t="shared" si="8"/>
        <v>14732.7</v>
      </c>
    </row>
    <row r="41" spans="1:14" s="7" customFormat="1" ht="15.75" customHeight="1">
      <c r="A41" s="61"/>
      <c r="B41" s="58" t="s">
        <v>160</v>
      </c>
      <c r="C41" s="58">
        <v>16429</v>
      </c>
      <c r="D41" s="58"/>
      <c r="E41" s="58">
        <f>2.5-82.5+367.7+24.9</f>
        <v>312.59999999999997</v>
      </c>
      <c r="F41" s="58"/>
      <c r="G41" s="58"/>
      <c r="H41" s="58">
        <v>-195</v>
      </c>
      <c r="I41" s="58">
        <f>1030.2</f>
        <v>1030.2</v>
      </c>
      <c r="J41" s="58">
        <v>-98</v>
      </c>
      <c r="K41" s="58">
        <v>-9.4</v>
      </c>
      <c r="L41" s="58">
        <v>-235.7</v>
      </c>
      <c r="M41" s="59">
        <f t="shared" si="7"/>
        <v>804.6999999999998</v>
      </c>
      <c r="N41" s="59">
        <f t="shared" si="8"/>
        <v>17233.7</v>
      </c>
    </row>
    <row r="42" spans="1:14" s="7" customFormat="1" ht="25.5">
      <c r="A42" s="61" t="s">
        <v>31</v>
      </c>
      <c r="B42" s="58" t="s">
        <v>92</v>
      </c>
      <c r="C42" s="58"/>
      <c r="D42" s="58">
        <v>5142.1</v>
      </c>
      <c r="E42" s="58">
        <f>16.7+523.2+11.6</f>
        <v>551.5000000000001</v>
      </c>
      <c r="F42" s="58"/>
      <c r="G42" s="58"/>
      <c r="H42" s="58">
        <v>8215.4</v>
      </c>
      <c r="I42" s="58">
        <v>515</v>
      </c>
      <c r="J42" s="58"/>
      <c r="K42" s="58">
        <v>50.6</v>
      </c>
      <c r="L42" s="58"/>
      <c r="M42" s="59">
        <f aca="true" t="shared" si="10" ref="M42:M52">SUM(D42:L42)</f>
        <v>14474.6</v>
      </c>
      <c r="N42" s="59">
        <f t="shared" si="8"/>
        <v>14474.6</v>
      </c>
    </row>
    <row r="43" spans="1:14" ht="18.75" customHeight="1">
      <c r="A43" s="55" t="s">
        <v>9</v>
      </c>
      <c r="B43" s="55"/>
      <c r="C43" s="55">
        <f>C20+C4</f>
        <v>588895.8999999999</v>
      </c>
      <c r="D43" s="55">
        <f aca="true" t="shared" si="11" ref="D43:L43">D20+D4</f>
        <v>13452.6</v>
      </c>
      <c r="E43" s="55">
        <f t="shared" si="11"/>
        <v>31692.8</v>
      </c>
      <c r="F43" s="55">
        <f t="shared" si="11"/>
        <v>985.3</v>
      </c>
      <c r="G43" s="55">
        <f t="shared" si="11"/>
        <v>210</v>
      </c>
      <c r="H43" s="55">
        <f t="shared" si="11"/>
        <v>41889.2</v>
      </c>
      <c r="I43" s="55">
        <f t="shared" si="11"/>
        <v>7903.8</v>
      </c>
      <c r="J43" s="55">
        <f t="shared" si="11"/>
        <v>4529.1</v>
      </c>
      <c r="K43" s="55">
        <f t="shared" si="11"/>
        <v>49760.4</v>
      </c>
      <c r="L43" s="55">
        <f t="shared" si="11"/>
        <v>6752.700000000001</v>
      </c>
      <c r="M43" s="56">
        <f t="shared" si="10"/>
        <v>157175.90000000002</v>
      </c>
      <c r="N43" s="56">
        <f aca="true" t="shared" si="12" ref="N43:N52">M43+C43</f>
        <v>746071.7999999999</v>
      </c>
    </row>
    <row r="44" spans="1:14" ht="15.75" customHeight="1">
      <c r="A44" s="54">
        <v>1</v>
      </c>
      <c r="B44" s="54" t="s">
        <v>13</v>
      </c>
      <c r="C44" s="65">
        <f aca="true" t="shared" si="13" ref="C44:L44">SUM(C45:C52)</f>
        <v>55188</v>
      </c>
      <c r="D44" s="65">
        <f t="shared" si="13"/>
        <v>1580</v>
      </c>
      <c r="E44" s="65">
        <f t="shared" si="13"/>
        <v>866</v>
      </c>
      <c r="F44" s="65">
        <f t="shared" si="13"/>
        <v>0</v>
      </c>
      <c r="G44" s="65">
        <f t="shared" si="13"/>
        <v>210</v>
      </c>
      <c r="H44" s="65">
        <f t="shared" si="13"/>
        <v>226.7</v>
      </c>
      <c r="I44" s="65">
        <f t="shared" si="13"/>
        <v>2305.9</v>
      </c>
      <c r="J44" s="65">
        <f t="shared" si="13"/>
        <v>-443.3</v>
      </c>
      <c r="K44" s="65">
        <f t="shared" si="13"/>
        <v>-209.4</v>
      </c>
      <c r="L44" s="65">
        <f t="shared" si="13"/>
        <v>-10</v>
      </c>
      <c r="M44" s="56">
        <f t="shared" si="10"/>
        <v>4525.900000000001</v>
      </c>
      <c r="N44" s="56">
        <f t="shared" si="12"/>
        <v>59713.9</v>
      </c>
    </row>
    <row r="45" spans="1:14" s="7" customFormat="1" ht="27" customHeight="1">
      <c r="A45" s="57" t="s">
        <v>3</v>
      </c>
      <c r="B45" s="66" t="s">
        <v>34</v>
      </c>
      <c r="C45" s="61">
        <v>1837</v>
      </c>
      <c r="D45" s="61"/>
      <c r="E45" s="61"/>
      <c r="F45" s="61"/>
      <c r="G45" s="61"/>
      <c r="H45" s="61"/>
      <c r="I45" s="61">
        <v>218</v>
      </c>
      <c r="J45" s="61"/>
      <c r="K45" s="61"/>
      <c r="L45" s="61"/>
      <c r="M45" s="59">
        <f t="shared" si="10"/>
        <v>218</v>
      </c>
      <c r="N45" s="59">
        <f t="shared" si="12"/>
        <v>2055</v>
      </c>
    </row>
    <row r="46" spans="1:14" s="7" customFormat="1" ht="25.5">
      <c r="A46" s="61" t="s">
        <v>4</v>
      </c>
      <c r="B46" s="66" t="s">
        <v>35</v>
      </c>
      <c r="C46" s="61">
        <v>1400</v>
      </c>
      <c r="D46" s="61">
        <v>-5.5</v>
      </c>
      <c r="E46" s="61">
        <v>48.2</v>
      </c>
      <c r="F46" s="61"/>
      <c r="G46" s="61"/>
      <c r="H46" s="67"/>
      <c r="I46" s="61">
        <v>64.8</v>
      </c>
      <c r="J46" s="61"/>
      <c r="K46" s="61">
        <v>21.6</v>
      </c>
      <c r="L46" s="61"/>
      <c r="M46" s="59">
        <f t="shared" si="10"/>
        <v>129.1</v>
      </c>
      <c r="N46" s="59">
        <f t="shared" si="12"/>
        <v>1529.1</v>
      </c>
    </row>
    <row r="47" spans="1:14" s="7" customFormat="1" ht="27.75" customHeight="1">
      <c r="A47" s="61" t="s">
        <v>25</v>
      </c>
      <c r="B47" s="66" t="s">
        <v>131</v>
      </c>
      <c r="C47" s="61">
        <v>41392</v>
      </c>
      <c r="D47" s="61">
        <f>-11-5+1370-50</f>
        <v>1304</v>
      </c>
      <c r="E47" s="61">
        <f>181.7+27.9+42.3+266+11.6</f>
        <v>529.5</v>
      </c>
      <c r="F47" s="61">
        <v>13.3</v>
      </c>
      <c r="G47" s="61">
        <v>6</v>
      </c>
      <c r="H47" s="61">
        <f>225+0.5</f>
        <v>225.5</v>
      </c>
      <c r="I47" s="61">
        <v>1394.4</v>
      </c>
      <c r="J47" s="61"/>
      <c r="K47" s="61">
        <v>93.5</v>
      </c>
      <c r="L47" s="61">
        <v>17.6</v>
      </c>
      <c r="M47" s="59">
        <f t="shared" si="10"/>
        <v>3583.8</v>
      </c>
      <c r="N47" s="59">
        <f t="shared" si="12"/>
        <v>44975.8</v>
      </c>
    </row>
    <row r="48" spans="1:14" s="7" customFormat="1" ht="15.75" customHeight="1">
      <c r="A48" s="61" t="s">
        <v>38</v>
      </c>
      <c r="B48" s="66" t="s">
        <v>37</v>
      </c>
      <c r="C48" s="61"/>
      <c r="D48" s="61"/>
      <c r="E48" s="61">
        <v>3.5</v>
      </c>
      <c r="F48" s="61"/>
      <c r="G48" s="61"/>
      <c r="H48" s="61">
        <v>1.7</v>
      </c>
      <c r="I48" s="61"/>
      <c r="J48" s="61"/>
      <c r="K48" s="61"/>
      <c r="L48" s="61"/>
      <c r="M48" s="59">
        <f t="shared" si="10"/>
        <v>5.2</v>
      </c>
      <c r="N48" s="59">
        <f t="shared" si="12"/>
        <v>5.2</v>
      </c>
    </row>
    <row r="49" spans="1:14" s="7" customFormat="1" ht="38.25">
      <c r="A49" s="61" t="s">
        <v>39</v>
      </c>
      <c r="B49" s="66" t="s">
        <v>40</v>
      </c>
      <c r="C49" s="61">
        <v>4430</v>
      </c>
      <c r="D49" s="61">
        <v>50</v>
      </c>
      <c r="E49" s="61"/>
      <c r="F49" s="61"/>
      <c r="G49" s="61"/>
      <c r="H49" s="61"/>
      <c r="I49" s="61">
        <v>335</v>
      </c>
      <c r="J49" s="61">
        <v>13.9</v>
      </c>
      <c r="K49" s="61"/>
      <c r="L49" s="61"/>
      <c r="M49" s="59">
        <f t="shared" si="10"/>
        <v>398.9</v>
      </c>
      <c r="N49" s="59">
        <f t="shared" si="12"/>
        <v>4828.9</v>
      </c>
    </row>
    <row r="50" spans="1:14" s="7" customFormat="1" ht="15.75" customHeight="1">
      <c r="A50" s="68" t="s">
        <v>101</v>
      </c>
      <c r="B50" s="66" t="s">
        <v>41</v>
      </c>
      <c r="C50" s="61">
        <v>300</v>
      </c>
      <c r="D50" s="61">
        <v>-60</v>
      </c>
      <c r="E50" s="61">
        <f>-27.9-42.3</f>
        <v>-70.19999999999999</v>
      </c>
      <c r="F50" s="61">
        <v>-13.3</v>
      </c>
      <c r="G50" s="61">
        <v>-6</v>
      </c>
      <c r="H50" s="61">
        <v>-0.5</v>
      </c>
      <c r="I50" s="61">
        <v>-13.3</v>
      </c>
      <c r="J50" s="61"/>
      <c r="K50" s="61">
        <v>-100</v>
      </c>
      <c r="L50" s="61">
        <v>-17.6</v>
      </c>
      <c r="M50" s="59">
        <f t="shared" si="10"/>
        <v>-280.90000000000003</v>
      </c>
      <c r="N50" s="59">
        <f t="shared" si="12"/>
        <v>19.099999999999966</v>
      </c>
    </row>
    <row r="51" spans="1:14" s="7" customFormat="1" ht="15.75" customHeight="1">
      <c r="A51" s="61" t="s">
        <v>102</v>
      </c>
      <c r="B51" s="66" t="s">
        <v>148</v>
      </c>
      <c r="C51" s="61"/>
      <c r="D51" s="61"/>
      <c r="E51" s="61"/>
      <c r="F51" s="61"/>
      <c r="G51" s="61">
        <v>210</v>
      </c>
      <c r="H51" s="61"/>
      <c r="I51" s="61"/>
      <c r="J51" s="61"/>
      <c r="K51" s="61">
        <v>-210</v>
      </c>
      <c r="L51" s="61"/>
      <c r="M51" s="59">
        <f>SUM(D51:L51)</f>
        <v>0</v>
      </c>
      <c r="N51" s="59">
        <f t="shared" si="12"/>
        <v>0</v>
      </c>
    </row>
    <row r="52" spans="1:14" s="7" customFormat="1" ht="16.5" customHeight="1">
      <c r="A52" s="61" t="s">
        <v>147</v>
      </c>
      <c r="B52" s="66" t="s">
        <v>42</v>
      </c>
      <c r="C52" s="61">
        <v>5829</v>
      </c>
      <c r="D52" s="61">
        <f>250+41.5</f>
        <v>291.5</v>
      </c>
      <c r="E52" s="61">
        <f>300+55</f>
        <v>355</v>
      </c>
      <c r="F52" s="61"/>
      <c r="G52" s="61"/>
      <c r="H52" s="61">
        <f>200-200</f>
        <v>0</v>
      </c>
      <c r="I52" s="61">
        <v>307</v>
      </c>
      <c r="J52" s="61">
        <v>-457.2</v>
      </c>
      <c r="K52" s="61">
        <v>-14.5</v>
      </c>
      <c r="L52" s="61">
        <v>-10</v>
      </c>
      <c r="M52" s="59">
        <f t="shared" si="10"/>
        <v>471.8</v>
      </c>
      <c r="N52" s="59">
        <f t="shared" si="12"/>
        <v>6300.8</v>
      </c>
    </row>
    <row r="53" spans="1:14" s="42" customFormat="1" ht="29.25" customHeight="1">
      <c r="A53" s="69" t="s">
        <v>14</v>
      </c>
      <c r="B53" s="69" t="s">
        <v>79</v>
      </c>
      <c r="C53" s="70">
        <f>SUM(C54:C55)</f>
        <v>436.1</v>
      </c>
      <c r="D53" s="70">
        <f aca="true" t="shared" si="14" ref="D53:M53">SUM(D54:D55)</f>
        <v>211.2</v>
      </c>
      <c r="E53" s="70">
        <f t="shared" si="14"/>
        <v>0</v>
      </c>
      <c r="F53" s="70">
        <f t="shared" si="14"/>
        <v>685.3</v>
      </c>
      <c r="G53" s="70">
        <f t="shared" si="14"/>
        <v>0</v>
      </c>
      <c r="H53" s="70">
        <f t="shared" si="14"/>
        <v>70.9</v>
      </c>
      <c r="I53" s="70">
        <f t="shared" si="14"/>
        <v>-5.4</v>
      </c>
      <c r="J53" s="70">
        <f t="shared" si="14"/>
        <v>0</v>
      </c>
      <c r="K53" s="70">
        <f t="shared" si="14"/>
        <v>0</v>
      </c>
      <c r="L53" s="70">
        <f t="shared" si="14"/>
        <v>-230.7</v>
      </c>
      <c r="M53" s="70">
        <f t="shared" si="14"/>
        <v>731.3</v>
      </c>
      <c r="N53" s="62">
        <f aca="true" t="shared" si="15" ref="N53:N83">M53+C53</f>
        <v>1167.4</v>
      </c>
    </row>
    <row r="54" spans="1:14" s="7" customFormat="1" ht="25.5">
      <c r="A54" s="61" t="s">
        <v>6</v>
      </c>
      <c r="B54" s="66" t="s">
        <v>132</v>
      </c>
      <c r="C54" s="61">
        <v>361.1</v>
      </c>
      <c r="D54" s="61">
        <v>11.2</v>
      </c>
      <c r="E54" s="61"/>
      <c r="F54" s="61">
        <v>685.3</v>
      </c>
      <c r="G54" s="61"/>
      <c r="H54" s="61">
        <v>70.9</v>
      </c>
      <c r="I54" s="61">
        <v>-5.4</v>
      </c>
      <c r="J54" s="61"/>
      <c r="K54" s="61"/>
      <c r="L54" s="61">
        <v>-230.7</v>
      </c>
      <c r="M54" s="59">
        <f>SUM(D54:L54)</f>
        <v>531.3</v>
      </c>
      <c r="N54" s="59">
        <f t="shared" si="15"/>
        <v>892.4</v>
      </c>
    </row>
    <row r="55" spans="1:14" s="7" customFormat="1" ht="38.25">
      <c r="A55" s="61" t="s">
        <v>7</v>
      </c>
      <c r="B55" s="66" t="s">
        <v>93</v>
      </c>
      <c r="C55" s="61">
        <v>75</v>
      </c>
      <c r="D55" s="61">
        <f>211.2-11.2</f>
        <v>200</v>
      </c>
      <c r="E55" s="61"/>
      <c r="F55" s="61"/>
      <c r="G55" s="61"/>
      <c r="H55" s="61"/>
      <c r="I55" s="61"/>
      <c r="J55" s="61"/>
      <c r="K55" s="61"/>
      <c r="L55" s="61"/>
      <c r="M55" s="59">
        <f>SUM(D55:L55)</f>
        <v>200</v>
      </c>
      <c r="N55" s="59">
        <f>M55+C55</f>
        <v>275</v>
      </c>
    </row>
    <row r="56" spans="1:14" ht="17.25" customHeight="1">
      <c r="A56" s="54" t="s">
        <v>15</v>
      </c>
      <c r="B56" s="54" t="s">
        <v>44</v>
      </c>
      <c r="C56" s="65">
        <f aca="true" t="shared" si="16" ref="C56:L56">SUM(C57:C60)</f>
        <v>15433</v>
      </c>
      <c r="D56" s="65">
        <f t="shared" si="16"/>
        <v>2500</v>
      </c>
      <c r="E56" s="65">
        <f t="shared" si="16"/>
        <v>675.6</v>
      </c>
      <c r="F56" s="65">
        <f t="shared" si="16"/>
        <v>0</v>
      </c>
      <c r="G56" s="65">
        <f t="shared" si="16"/>
        <v>276</v>
      </c>
      <c r="H56" s="65">
        <f t="shared" si="16"/>
        <v>1526</v>
      </c>
      <c r="I56" s="65">
        <f t="shared" si="16"/>
        <v>616.4</v>
      </c>
      <c r="J56" s="65">
        <f t="shared" si="16"/>
        <v>522.3</v>
      </c>
      <c r="K56" s="65">
        <f>SUM(K57:K60)</f>
        <v>-215.79999999999998</v>
      </c>
      <c r="L56" s="65">
        <f t="shared" si="16"/>
        <v>2000</v>
      </c>
      <c r="M56" s="56">
        <f aca="true" t="shared" si="17" ref="M56:M85">SUM(D56:L56)</f>
        <v>7900.5</v>
      </c>
      <c r="N56" s="56">
        <f t="shared" si="15"/>
        <v>23333.5</v>
      </c>
    </row>
    <row r="57" spans="1:14" s="7" customFormat="1" ht="15.75" customHeight="1">
      <c r="A57" s="61" t="s">
        <v>8</v>
      </c>
      <c r="B57" s="66" t="s">
        <v>45</v>
      </c>
      <c r="C57" s="61">
        <v>4273</v>
      </c>
      <c r="D57" s="61"/>
      <c r="E57" s="61"/>
      <c r="F57" s="61"/>
      <c r="G57" s="61"/>
      <c r="H57" s="61">
        <v>26</v>
      </c>
      <c r="I57" s="61">
        <v>218.9</v>
      </c>
      <c r="J57" s="61">
        <v>12</v>
      </c>
      <c r="K57" s="61">
        <v>81.6</v>
      </c>
      <c r="L57" s="61"/>
      <c r="M57" s="59">
        <f t="shared" si="17"/>
        <v>338.5</v>
      </c>
      <c r="N57" s="59">
        <f t="shared" si="15"/>
        <v>4611.5</v>
      </c>
    </row>
    <row r="58" spans="1:14" s="7" customFormat="1" ht="16.5" customHeight="1">
      <c r="A58" s="61" t="s">
        <v>47</v>
      </c>
      <c r="B58" s="66" t="s">
        <v>77</v>
      </c>
      <c r="C58" s="61">
        <v>5410</v>
      </c>
      <c r="D58" s="61">
        <v>2500</v>
      </c>
      <c r="E58" s="61"/>
      <c r="F58" s="61"/>
      <c r="G58" s="61">
        <v>276</v>
      </c>
      <c r="H58" s="61">
        <v>1000</v>
      </c>
      <c r="I58" s="61"/>
      <c r="J58" s="61"/>
      <c r="K58" s="61"/>
      <c r="L58" s="61">
        <v>2000</v>
      </c>
      <c r="M58" s="59">
        <f t="shared" si="17"/>
        <v>5776</v>
      </c>
      <c r="N58" s="59">
        <f t="shared" si="15"/>
        <v>11186</v>
      </c>
    </row>
    <row r="59" spans="1:14" s="7" customFormat="1" ht="25.5">
      <c r="A59" s="61" t="s">
        <v>66</v>
      </c>
      <c r="B59" s="66" t="s">
        <v>46</v>
      </c>
      <c r="C59" s="61">
        <v>5750</v>
      </c>
      <c r="D59" s="61"/>
      <c r="E59" s="61">
        <f>50+75</f>
        <v>125</v>
      </c>
      <c r="F59" s="61"/>
      <c r="G59" s="61"/>
      <c r="H59" s="61">
        <v>500</v>
      </c>
      <c r="I59" s="61">
        <v>485</v>
      </c>
      <c r="J59" s="61">
        <v>510.3</v>
      </c>
      <c r="K59" s="61">
        <v>-350</v>
      </c>
      <c r="L59" s="61"/>
      <c r="M59" s="59">
        <f>SUM(D59:L59)</f>
        <v>1270.3</v>
      </c>
      <c r="N59" s="59">
        <f>M59+C59</f>
        <v>7020.3</v>
      </c>
    </row>
    <row r="60" spans="1:14" s="7" customFormat="1" ht="18.75" customHeight="1">
      <c r="A60" s="61" t="s">
        <v>80</v>
      </c>
      <c r="B60" s="66" t="s">
        <v>144</v>
      </c>
      <c r="C60" s="61">
        <v>0</v>
      </c>
      <c r="D60" s="61"/>
      <c r="E60" s="61">
        <f>2.5+523.2-250+250+24.9</f>
        <v>550.6</v>
      </c>
      <c r="F60" s="61"/>
      <c r="G60" s="61"/>
      <c r="H60" s="61"/>
      <c r="I60" s="61">
        <v>-87.5</v>
      </c>
      <c r="J60" s="61"/>
      <c r="K60" s="61">
        <v>52.6</v>
      </c>
      <c r="L60" s="61"/>
      <c r="M60" s="59">
        <f t="shared" si="17"/>
        <v>515.7</v>
      </c>
      <c r="N60" s="59">
        <f t="shared" si="15"/>
        <v>515.7</v>
      </c>
    </row>
    <row r="61" spans="1:14" ht="16.5" customHeight="1">
      <c r="A61" s="54" t="s">
        <v>16</v>
      </c>
      <c r="B61" s="54" t="s">
        <v>17</v>
      </c>
      <c r="C61" s="65">
        <f aca="true" t="shared" si="18" ref="C61:L61">SUM(C62:C63)</f>
        <v>17960</v>
      </c>
      <c r="D61" s="65">
        <f t="shared" si="18"/>
        <v>200</v>
      </c>
      <c r="E61" s="65">
        <f t="shared" si="18"/>
        <v>-137.30000000000004</v>
      </c>
      <c r="F61" s="65">
        <f t="shared" si="18"/>
        <v>300</v>
      </c>
      <c r="G61" s="65">
        <f t="shared" si="18"/>
        <v>1724</v>
      </c>
      <c r="H61" s="65">
        <f t="shared" si="18"/>
        <v>3100</v>
      </c>
      <c r="I61" s="65">
        <f t="shared" si="18"/>
        <v>5816.9</v>
      </c>
      <c r="J61" s="65">
        <f t="shared" si="18"/>
        <v>240</v>
      </c>
      <c r="K61" s="65">
        <f t="shared" si="18"/>
        <v>-107</v>
      </c>
      <c r="L61" s="65">
        <f t="shared" si="18"/>
        <v>0</v>
      </c>
      <c r="M61" s="56">
        <f t="shared" si="17"/>
        <v>11136.599999999999</v>
      </c>
      <c r="N61" s="56">
        <f t="shared" si="15"/>
        <v>29096.6</v>
      </c>
    </row>
    <row r="62" spans="1:14" s="7" customFormat="1" ht="16.5" customHeight="1">
      <c r="A62" s="61" t="s">
        <v>18</v>
      </c>
      <c r="B62" s="66" t="s">
        <v>94</v>
      </c>
      <c r="C62" s="61">
        <v>8600</v>
      </c>
      <c r="D62" s="61"/>
      <c r="E62" s="61"/>
      <c r="F62" s="63"/>
      <c r="G62" s="61"/>
      <c r="H62" s="61"/>
      <c r="I62" s="61">
        <v>4086.9</v>
      </c>
      <c r="J62" s="61"/>
      <c r="K62" s="61"/>
      <c r="L62" s="61"/>
      <c r="M62" s="59">
        <f t="shared" si="17"/>
        <v>4086.9</v>
      </c>
      <c r="N62" s="59">
        <f t="shared" si="15"/>
        <v>12686.9</v>
      </c>
    </row>
    <row r="63" spans="1:14" s="7" customFormat="1" ht="15.75" customHeight="1">
      <c r="A63" s="61" t="s">
        <v>81</v>
      </c>
      <c r="B63" s="66" t="s">
        <v>95</v>
      </c>
      <c r="C63" s="61">
        <v>9360</v>
      </c>
      <c r="D63" s="61">
        <v>200</v>
      </c>
      <c r="E63" s="61">
        <f>573.3-641-69.6</f>
        <v>-137.30000000000004</v>
      </c>
      <c r="F63" s="61">
        <v>300</v>
      </c>
      <c r="G63" s="61">
        <v>1724</v>
      </c>
      <c r="H63" s="61">
        <v>3100</v>
      </c>
      <c r="I63" s="61">
        <v>1730</v>
      </c>
      <c r="J63" s="61">
        <v>240</v>
      </c>
      <c r="K63" s="61">
        <v>-107</v>
      </c>
      <c r="L63" s="61"/>
      <c r="M63" s="59">
        <f>SUM(D63:L63)</f>
        <v>7049.7</v>
      </c>
      <c r="N63" s="59">
        <f>M63+C63</f>
        <v>16409.7</v>
      </c>
    </row>
    <row r="64" spans="1:14" ht="15.75" customHeight="1">
      <c r="A64" s="54" t="s">
        <v>26</v>
      </c>
      <c r="B64" s="54" t="s">
        <v>48</v>
      </c>
      <c r="C64" s="65">
        <f aca="true" t="shared" si="19" ref="C64:H64">C65</f>
        <v>1325</v>
      </c>
      <c r="D64" s="65">
        <f t="shared" si="19"/>
        <v>0</v>
      </c>
      <c r="E64" s="65">
        <f t="shared" si="19"/>
        <v>69.6</v>
      </c>
      <c r="F64" s="65">
        <f t="shared" si="19"/>
        <v>0</v>
      </c>
      <c r="G64" s="65">
        <f t="shared" si="19"/>
        <v>0</v>
      </c>
      <c r="H64" s="65">
        <f t="shared" si="19"/>
        <v>0</v>
      </c>
      <c r="I64" s="65">
        <f>I65</f>
        <v>0</v>
      </c>
      <c r="J64" s="65">
        <f>J65</f>
        <v>0</v>
      </c>
      <c r="K64" s="65">
        <f>K65</f>
        <v>-1045</v>
      </c>
      <c r="L64" s="65">
        <f>L65</f>
        <v>0</v>
      </c>
      <c r="M64" s="56">
        <f t="shared" si="17"/>
        <v>-975.4</v>
      </c>
      <c r="N64" s="56">
        <f t="shared" si="15"/>
        <v>349.6</v>
      </c>
    </row>
    <row r="65" spans="1:14" s="7" customFormat="1" ht="25.5">
      <c r="A65" s="61" t="s">
        <v>19</v>
      </c>
      <c r="B65" s="66" t="s">
        <v>96</v>
      </c>
      <c r="C65" s="61">
        <v>1325</v>
      </c>
      <c r="D65" s="61"/>
      <c r="E65" s="61">
        <v>69.6</v>
      </c>
      <c r="F65" s="61"/>
      <c r="G65" s="61"/>
      <c r="H65" s="61"/>
      <c r="I65" s="61"/>
      <c r="J65" s="61"/>
      <c r="K65" s="61">
        <v>-1045</v>
      </c>
      <c r="L65" s="61"/>
      <c r="M65" s="59">
        <f t="shared" si="17"/>
        <v>-975.4</v>
      </c>
      <c r="N65" s="59">
        <f t="shared" si="15"/>
        <v>349.6</v>
      </c>
    </row>
    <row r="66" spans="1:14" ht="16.5" customHeight="1">
      <c r="A66" s="54" t="s">
        <v>20</v>
      </c>
      <c r="B66" s="54" t="s">
        <v>49</v>
      </c>
      <c r="C66" s="65">
        <f aca="true" t="shared" si="20" ref="C66:H66">SUM(C67:C70)</f>
        <v>292660.2</v>
      </c>
      <c r="D66" s="65">
        <f t="shared" si="20"/>
        <v>1755.1</v>
      </c>
      <c r="E66" s="65">
        <f t="shared" si="20"/>
        <v>5179.900000000001</v>
      </c>
      <c r="F66" s="65">
        <f t="shared" si="20"/>
        <v>0</v>
      </c>
      <c r="G66" s="65">
        <f t="shared" si="20"/>
        <v>0</v>
      </c>
      <c r="H66" s="65">
        <f t="shared" si="20"/>
        <v>8399.800000000001</v>
      </c>
      <c r="I66" s="65">
        <f>SUM(I67:I70)</f>
        <v>5704.1</v>
      </c>
      <c r="J66" s="65">
        <f>SUM(J67:J70)</f>
        <v>3353.6</v>
      </c>
      <c r="K66" s="65">
        <f>SUM(K67:K70)</f>
        <v>12401.3</v>
      </c>
      <c r="L66" s="65">
        <f>SUM(L67:L70)</f>
        <v>3322.7</v>
      </c>
      <c r="M66" s="56">
        <f t="shared" si="17"/>
        <v>40116.5</v>
      </c>
      <c r="N66" s="56">
        <f t="shared" si="15"/>
        <v>332776.7</v>
      </c>
    </row>
    <row r="67" spans="1:14" s="7" customFormat="1" ht="16.5" customHeight="1">
      <c r="A67" s="61" t="s">
        <v>21</v>
      </c>
      <c r="B67" s="66" t="s">
        <v>50</v>
      </c>
      <c r="C67" s="61">
        <v>83091</v>
      </c>
      <c r="D67" s="61"/>
      <c r="E67" s="61">
        <v>1000</v>
      </c>
      <c r="F67" s="61"/>
      <c r="G67" s="61"/>
      <c r="H67" s="61">
        <v>3330.9</v>
      </c>
      <c r="I67" s="61">
        <v>1336.8</v>
      </c>
      <c r="J67" s="61">
        <v>1091.6</v>
      </c>
      <c r="K67" s="61">
        <v>804.2</v>
      </c>
      <c r="L67" s="61">
        <v>820.8</v>
      </c>
      <c r="M67" s="59">
        <f t="shared" si="17"/>
        <v>8384.3</v>
      </c>
      <c r="N67" s="59">
        <f t="shared" si="15"/>
        <v>91475.3</v>
      </c>
    </row>
    <row r="68" spans="1:14" s="7" customFormat="1" ht="16.5" customHeight="1">
      <c r="A68" s="61" t="s">
        <v>56</v>
      </c>
      <c r="B68" s="66" t="s">
        <v>52</v>
      </c>
      <c r="C68" s="61">
        <v>187586.4</v>
      </c>
      <c r="D68" s="61">
        <f>1625+100</f>
        <v>1725</v>
      </c>
      <c r="E68" s="61">
        <f>2808.4+2254.7-43.2-1000+100+26.9+60</f>
        <v>4206.8</v>
      </c>
      <c r="F68" s="61"/>
      <c r="G68" s="61"/>
      <c r="H68" s="61">
        <f>6220+1500-3330.9+450+101.6+66.5</f>
        <v>5007.200000000001</v>
      </c>
      <c r="I68" s="61">
        <v>4435.7</v>
      </c>
      <c r="J68" s="61">
        <v>2234.2</v>
      </c>
      <c r="K68" s="61">
        <v>10324.8</v>
      </c>
      <c r="L68" s="61">
        <f>1953.2</f>
        <v>1953.2</v>
      </c>
      <c r="M68" s="59">
        <f t="shared" si="17"/>
        <v>29886.9</v>
      </c>
      <c r="N68" s="59">
        <f t="shared" si="15"/>
        <v>217473.3</v>
      </c>
    </row>
    <row r="69" spans="1:14" s="7" customFormat="1" ht="17.25" customHeight="1">
      <c r="A69" s="61" t="s">
        <v>58</v>
      </c>
      <c r="B69" s="66" t="s">
        <v>53</v>
      </c>
      <c r="C69" s="61">
        <v>6026.8</v>
      </c>
      <c r="D69" s="61">
        <v>0.1</v>
      </c>
      <c r="E69" s="61"/>
      <c r="F69" s="61"/>
      <c r="G69" s="61"/>
      <c r="H69" s="61">
        <f>108.3-101.6</f>
        <v>6.700000000000003</v>
      </c>
      <c r="I69" s="61">
        <v>-138.7</v>
      </c>
      <c r="J69" s="61"/>
      <c r="K69" s="61"/>
      <c r="L69" s="61"/>
      <c r="M69" s="59">
        <f t="shared" si="17"/>
        <v>-131.89999999999998</v>
      </c>
      <c r="N69" s="59">
        <f t="shared" si="15"/>
        <v>5894.900000000001</v>
      </c>
    </row>
    <row r="70" spans="1:14" s="7" customFormat="1" ht="12.75">
      <c r="A70" s="61" t="s">
        <v>82</v>
      </c>
      <c r="B70" s="66" t="s">
        <v>54</v>
      </c>
      <c r="C70" s="61">
        <v>15956</v>
      </c>
      <c r="D70" s="61">
        <f>30</f>
        <v>30</v>
      </c>
      <c r="E70" s="61">
        <v>-26.9</v>
      </c>
      <c r="F70" s="61"/>
      <c r="G70" s="61"/>
      <c r="H70" s="61">
        <f>500+5-450</f>
        <v>55</v>
      </c>
      <c r="I70" s="61">
        <v>70.3</v>
      </c>
      <c r="J70" s="61">
        <v>27.8</v>
      </c>
      <c r="K70" s="61">
        <v>1272.3</v>
      </c>
      <c r="L70" s="61">
        <v>548.7</v>
      </c>
      <c r="M70" s="59">
        <f t="shared" si="17"/>
        <v>1977.2</v>
      </c>
      <c r="N70" s="59">
        <f t="shared" si="15"/>
        <v>17933.2</v>
      </c>
    </row>
    <row r="71" spans="1:14" ht="12.75">
      <c r="A71" s="54" t="s">
        <v>22</v>
      </c>
      <c r="B71" s="54" t="s">
        <v>164</v>
      </c>
      <c r="C71" s="65">
        <f aca="true" t="shared" si="21" ref="C71:L71">SUM(C72:C73)</f>
        <v>6508</v>
      </c>
      <c r="D71" s="65">
        <f t="shared" si="21"/>
        <v>5477.6</v>
      </c>
      <c r="E71" s="65">
        <f t="shared" si="21"/>
        <v>-82.5</v>
      </c>
      <c r="F71" s="65">
        <f t="shared" si="21"/>
        <v>0</v>
      </c>
      <c r="G71" s="65">
        <f t="shared" si="21"/>
        <v>0</v>
      </c>
      <c r="H71" s="65">
        <f t="shared" si="21"/>
        <v>18.4</v>
      </c>
      <c r="I71" s="65">
        <f t="shared" si="21"/>
        <v>737.7</v>
      </c>
      <c r="J71" s="65">
        <f t="shared" si="21"/>
        <v>0</v>
      </c>
      <c r="K71" s="65">
        <f t="shared" si="21"/>
        <v>0</v>
      </c>
      <c r="L71" s="65">
        <f t="shared" si="21"/>
        <v>0</v>
      </c>
      <c r="M71" s="56">
        <f t="shared" si="17"/>
        <v>6151.2</v>
      </c>
      <c r="N71" s="56">
        <f t="shared" si="15"/>
        <v>12659.2</v>
      </c>
    </row>
    <row r="72" spans="1:14" s="7" customFormat="1" ht="18" customHeight="1">
      <c r="A72" s="61" t="s">
        <v>23</v>
      </c>
      <c r="B72" s="66" t="s">
        <v>55</v>
      </c>
      <c r="C72" s="61">
        <v>6188</v>
      </c>
      <c r="D72" s="61">
        <f>5302.1-14.5+190</f>
        <v>5477.6</v>
      </c>
      <c r="E72" s="61">
        <v>-82.5</v>
      </c>
      <c r="F72" s="61"/>
      <c r="G72" s="61"/>
      <c r="H72" s="61">
        <v>18.4</v>
      </c>
      <c r="I72" s="61">
        <v>737.7</v>
      </c>
      <c r="J72" s="61"/>
      <c r="K72" s="61"/>
      <c r="L72" s="61"/>
      <c r="M72" s="59">
        <f t="shared" si="17"/>
        <v>6151.2</v>
      </c>
      <c r="N72" s="59">
        <f t="shared" si="15"/>
        <v>12339.2</v>
      </c>
    </row>
    <row r="73" spans="1:14" s="7" customFormat="1" ht="15.75" customHeight="1">
      <c r="A73" s="61" t="s">
        <v>59</v>
      </c>
      <c r="B73" s="66" t="s">
        <v>142</v>
      </c>
      <c r="C73" s="61">
        <v>320</v>
      </c>
      <c r="D73" s="61"/>
      <c r="E73" s="61"/>
      <c r="F73" s="61"/>
      <c r="G73" s="61"/>
      <c r="H73" s="61"/>
      <c r="I73" s="61"/>
      <c r="J73" s="61"/>
      <c r="K73" s="61"/>
      <c r="L73" s="61"/>
      <c r="M73" s="59">
        <f t="shared" si="17"/>
        <v>0</v>
      </c>
      <c r="N73" s="59">
        <f t="shared" si="15"/>
        <v>320</v>
      </c>
    </row>
    <row r="74" spans="1:14" ht="16.5" customHeight="1">
      <c r="A74" s="54" t="s">
        <v>76</v>
      </c>
      <c r="B74" s="54" t="s">
        <v>166</v>
      </c>
      <c r="C74" s="65">
        <f aca="true" t="shared" si="22" ref="C74:H74">SUM(C75:C77)</f>
        <v>47993</v>
      </c>
      <c r="D74" s="65">
        <f t="shared" si="22"/>
        <v>700</v>
      </c>
      <c r="E74" s="65">
        <f>SUM(E75:E77)</f>
        <v>351.40000000000003</v>
      </c>
      <c r="F74" s="65">
        <f t="shared" si="22"/>
        <v>0</v>
      </c>
      <c r="G74" s="65">
        <f t="shared" si="22"/>
        <v>0</v>
      </c>
      <c r="H74" s="65">
        <f t="shared" si="22"/>
        <v>6688.7</v>
      </c>
      <c r="I74" s="65">
        <f>SUM(I75:I77)</f>
        <v>-367.6</v>
      </c>
      <c r="J74" s="65">
        <f>SUM(J75:J77)</f>
        <v>-223.5</v>
      </c>
      <c r="K74" s="65">
        <f>SUM(K75:K77)</f>
        <v>-12</v>
      </c>
      <c r="L74" s="65">
        <f>SUM(L75:L77)</f>
        <v>9.6</v>
      </c>
      <c r="M74" s="56">
        <f t="shared" si="17"/>
        <v>7146.6</v>
      </c>
      <c r="N74" s="56">
        <f t="shared" si="15"/>
        <v>55139.6</v>
      </c>
    </row>
    <row r="75" spans="1:14" s="7" customFormat="1" ht="16.5" customHeight="1">
      <c r="A75" s="61" t="s">
        <v>27</v>
      </c>
      <c r="B75" s="66" t="s">
        <v>133</v>
      </c>
      <c r="C75" s="61">
        <v>13361.1</v>
      </c>
      <c r="D75" s="61"/>
      <c r="E75" s="63">
        <v>-170</v>
      </c>
      <c r="F75" s="61"/>
      <c r="G75" s="61"/>
      <c r="H75" s="61">
        <f>-126.7-2000+5896.6</f>
        <v>3769.9000000000005</v>
      </c>
      <c r="I75" s="61">
        <v>4.4</v>
      </c>
      <c r="J75" s="61"/>
      <c r="K75" s="61">
        <v>-4.4</v>
      </c>
      <c r="L75" s="61"/>
      <c r="M75" s="59">
        <f t="shared" si="17"/>
        <v>3599.9000000000005</v>
      </c>
      <c r="N75" s="59">
        <f t="shared" si="15"/>
        <v>16961</v>
      </c>
    </row>
    <row r="76" spans="1:14" s="7" customFormat="1" ht="16.5" customHeight="1">
      <c r="A76" s="61" t="s">
        <v>60</v>
      </c>
      <c r="B76" s="66" t="s">
        <v>134</v>
      </c>
      <c r="C76" s="61">
        <v>17581.9</v>
      </c>
      <c r="D76" s="61"/>
      <c r="E76" s="61">
        <v>537.7</v>
      </c>
      <c r="F76" s="61"/>
      <c r="G76" s="61"/>
      <c r="H76" s="61">
        <f>8215.4-5896.6</f>
        <v>2318.7999999999993</v>
      </c>
      <c r="I76" s="61">
        <v>-362</v>
      </c>
      <c r="J76" s="61">
        <v>-208.5</v>
      </c>
      <c r="K76" s="61">
        <v>-7.6</v>
      </c>
      <c r="L76" s="61">
        <v>9.6</v>
      </c>
      <c r="M76" s="59">
        <f t="shared" si="17"/>
        <v>2287.999999999999</v>
      </c>
      <c r="N76" s="59">
        <f t="shared" si="15"/>
        <v>19869.9</v>
      </c>
    </row>
    <row r="77" spans="1:14" s="7" customFormat="1" ht="16.5" customHeight="1">
      <c r="A77" s="61" t="s">
        <v>61</v>
      </c>
      <c r="B77" s="66" t="s">
        <v>135</v>
      </c>
      <c r="C77" s="61">
        <v>17050</v>
      </c>
      <c r="D77" s="61">
        <v>700</v>
      </c>
      <c r="E77" s="61">
        <v>-16.3</v>
      </c>
      <c r="F77" s="61"/>
      <c r="G77" s="61"/>
      <c r="H77" s="61">
        <f>600</f>
        <v>600</v>
      </c>
      <c r="I77" s="61">
        <v>-10</v>
      </c>
      <c r="J77" s="61">
        <v>-15</v>
      </c>
      <c r="K77" s="61"/>
      <c r="L77" s="61"/>
      <c r="M77" s="59">
        <f t="shared" si="17"/>
        <v>1258.7</v>
      </c>
      <c r="N77" s="59">
        <f t="shared" si="15"/>
        <v>18308.7</v>
      </c>
    </row>
    <row r="78" spans="1:14" ht="15.75" customHeight="1">
      <c r="A78" s="54" t="s">
        <v>83</v>
      </c>
      <c r="B78" s="54" t="s">
        <v>167</v>
      </c>
      <c r="C78" s="65">
        <f aca="true" t="shared" si="23" ref="C78:H78">C79+C80+C81+C82+C83</f>
        <v>157590.6</v>
      </c>
      <c r="D78" s="65">
        <f t="shared" si="23"/>
        <v>479.59999999999997</v>
      </c>
      <c r="E78" s="65">
        <f t="shared" si="23"/>
        <v>24740.100000000002</v>
      </c>
      <c r="F78" s="65">
        <f t="shared" si="23"/>
        <v>0</v>
      </c>
      <c r="G78" s="65">
        <f t="shared" si="23"/>
        <v>0</v>
      </c>
      <c r="H78" s="65">
        <f t="shared" si="23"/>
        <v>21858.7</v>
      </c>
      <c r="I78" s="65">
        <f>I79+I80+I81+I82+I83</f>
        <v>-7231.2</v>
      </c>
      <c r="J78" s="65">
        <f>J79+J80+J81+J82+J83</f>
        <v>1080</v>
      </c>
      <c r="K78" s="65">
        <f>K79+K80+K81+K82+K83</f>
        <v>38948.3</v>
      </c>
      <c r="L78" s="65">
        <f>L79+L80+L81+L82+L83</f>
        <v>1661.1</v>
      </c>
      <c r="M78" s="56">
        <f t="shared" si="17"/>
        <v>81536.6</v>
      </c>
      <c r="N78" s="56">
        <f t="shared" si="15"/>
        <v>239127.2</v>
      </c>
    </row>
    <row r="79" spans="1:14" s="7" customFormat="1" ht="12.75">
      <c r="A79" s="61" t="s">
        <v>65</v>
      </c>
      <c r="B79" s="66" t="s">
        <v>97</v>
      </c>
      <c r="C79" s="61">
        <v>3813</v>
      </c>
      <c r="D79" s="61"/>
      <c r="E79" s="61">
        <v>-48.2</v>
      </c>
      <c r="F79" s="61"/>
      <c r="G79" s="61"/>
      <c r="H79" s="61">
        <v>248.8</v>
      </c>
      <c r="I79" s="61"/>
      <c r="J79" s="61"/>
      <c r="K79" s="61"/>
      <c r="L79" s="61"/>
      <c r="M79" s="59">
        <f t="shared" si="17"/>
        <v>200.60000000000002</v>
      </c>
      <c r="N79" s="59">
        <f t="shared" si="15"/>
        <v>4013.6</v>
      </c>
    </row>
    <row r="80" spans="1:14" s="7" customFormat="1" ht="12.75">
      <c r="A80" s="61" t="s">
        <v>84</v>
      </c>
      <c r="B80" s="66" t="s">
        <v>62</v>
      </c>
      <c r="C80" s="61">
        <v>18989.9</v>
      </c>
      <c r="D80" s="61"/>
      <c r="E80" s="61"/>
      <c r="F80" s="61"/>
      <c r="G80" s="61"/>
      <c r="H80" s="61"/>
      <c r="I80" s="61">
        <v>1189</v>
      </c>
      <c r="J80" s="61">
        <v>-301.2</v>
      </c>
      <c r="K80" s="61">
        <v>292.4</v>
      </c>
      <c r="L80" s="61"/>
      <c r="M80" s="59">
        <f t="shared" si="17"/>
        <v>1180.1999999999998</v>
      </c>
      <c r="N80" s="59">
        <f t="shared" si="15"/>
        <v>20170.100000000002</v>
      </c>
    </row>
    <row r="81" spans="1:14" s="7" customFormat="1" ht="12.75">
      <c r="A81" s="61" t="s">
        <v>85</v>
      </c>
      <c r="B81" s="66" t="s">
        <v>63</v>
      </c>
      <c r="C81" s="61">
        <v>112775.1</v>
      </c>
      <c r="D81" s="61">
        <f>419.7+60-0.1</f>
        <v>479.59999999999997</v>
      </c>
      <c r="E81" s="61">
        <f>1701.2+2587.4+19528.2+102.8-23.6-100-89.3</f>
        <v>23706.700000000004</v>
      </c>
      <c r="F81" s="61"/>
      <c r="G81" s="61"/>
      <c r="H81" s="61">
        <f>256.9+207+346.5+20556-66.5</f>
        <v>21299.9</v>
      </c>
      <c r="I81" s="61">
        <v>-8560.5</v>
      </c>
      <c r="J81" s="61">
        <v>624.7</v>
      </c>
      <c r="K81" s="61">
        <v>37589.2</v>
      </c>
      <c r="L81" s="61">
        <v>2034</v>
      </c>
      <c r="M81" s="59">
        <f>SUM(D81:L81)</f>
        <v>77173.6</v>
      </c>
      <c r="N81" s="59">
        <f t="shared" si="15"/>
        <v>189948.7</v>
      </c>
    </row>
    <row r="82" spans="1:14" s="7" customFormat="1" ht="12.75">
      <c r="A82" s="61" t="s">
        <v>86</v>
      </c>
      <c r="B82" s="66" t="s">
        <v>78</v>
      </c>
      <c r="C82" s="61">
        <v>11717.4</v>
      </c>
      <c r="D82" s="61"/>
      <c r="E82" s="61">
        <f>236+800</f>
        <v>1036</v>
      </c>
      <c r="F82" s="61"/>
      <c r="G82" s="61"/>
      <c r="H82" s="61">
        <v>310</v>
      </c>
      <c r="I82" s="61"/>
      <c r="J82" s="61">
        <v>400.1</v>
      </c>
      <c r="K82" s="61">
        <v>489.4</v>
      </c>
      <c r="L82" s="61">
        <v>-372.9</v>
      </c>
      <c r="M82" s="59">
        <f t="shared" si="17"/>
        <v>1862.6</v>
      </c>
      <c r="N82" s="59">
        <f t="shared" si="15"/>
        <v>13580</v>
      </c>
    </row>
    <row r="83" spans="1:14" s="7" customFormat="1" ht="17.25" customHeight="1">
      <c r="A83" s="61" t="s">
        <v>87</v>
      </c>
      <c r="B83" s="66" t="s">
        <v>64</v>
      </c>
      <c r="C83" s="61">
        <v>10295.2</v>
      </c>
      <c r="D83" s="63"/>
      <c r="E83" s="61">
        <v>45.6</v>
      </c>
      <c r="F83" s="61"/>
      <c r="G83" s="61"/>
      <c r="H83" s="61"/>
      <c r="I83" s="61">
        <v>140.3</v>
      </c>
      <c r="J83" s="61">
        <v>356.4</v>
      </c>
      <c r="K83" s="61">
        <v>577.3</v>
      </c>
      <c r="L83" s="61"/>
      <c r="M83" s="59">
        <f t="shared" si="17"/>
        <v>1119.6</v>
      </c>
      <c r="N83" s="59">
        <f t="shared" si="15"/>
        <v>11414.800000000001</v>
      </c>
    </row>
    <row r="84" spans="1:14" ht="17.25" customHeight="1">
      <c r="A84" s="54" t="s">
        <v>88</v>
      </c>
      <c r="B84" s="54" t="s">
        <v>169</v>
      </c>
      <c r="C84" s="65">
        <f>SUM(C85:C86)</f>
        <v>4260</v>
      </c>
      <c r="D84" s="65">
        <f aca="true" t="shared" si="24" ref="D84:L84">SUM(D85:D86)</f>
        <v>2589.5</v>
      </c>
      <c r="E84" s="65">
        <f t="shared" si="24"/>
        <v>0</v>
      </c>
      <c r="F84" s="65">
        <f t="shared" si="24"/>
        <v>0</v>
      </c>
      <c r="G84" s="65">
        <f t="shared" si="24"/>
        <v>-2000</v>
      </c>
      <c r="H84" s="65">
        <f t="shared" si="24"/>
        <v>0</v>
      </c>
      <c r="I84" s="65">
        <f t="shared" si="24"/>
        <v>77</v>
      </c>
      <c r="J84" s="65">
        <f t="shared" si="24"/>
        <v>0</v>
      </c>
      <c r="K84" s="65">
        <f t="shared" si="24"/>
        <v>0</v>
      </c>
      <c r="L84" s="65">
        <f t="shared" si="24"/>
        <v>0</v>
      </c>
      <c r="M84" s="56">
        <f>SUM(D84:L84)</f>
        <v>666.5</v>
      </c>
      <c r="N84" s="56">
        <f aca="true" t="shared" si="25" ref="N84:N89">M84+C84</f>
        <v>4926.5</v>
      </c>
    </row>
    <row r="85" spans="1:14" s="7" customFormat="1" ht="15.75" customHeight="1">
      <c r="A85" s="61" t="s">
        <v>89</v>
      </c>
      <c r="B85" s="66" t="s">
        <v>136</v>
      </c>
      <c r="C85" s="61">
        <v>610</v>
      </c>
      <c r="D85" s="61"/>
      <c r="E85" s="61"/>
      <c r="F85" s="61"/>
      <c r="G85" s="61"/>
      <c r="H85" s="61"/>
      <c r="I85" s="61"/>
      <c r="J85" s="61"/>
      <c r="K85" s="61"/>
      <c r="L85" s="61"/>
      <c r="M85" s="59">
        <f t="shared" si="17"/>
        <v>0</v>
      </c>
      <c r="N85" s="59">
        <f t="shared" si="25"/>
        <v>610</v>
      </c>
    </row>
    <row r="86" spans="1:14" s="7" customFormat="1" ht="28.5" customHeight="1">
      <c r="A86" s="61" t="s">
        <v>137</v>
      </c>
      <c r="B86" s="66" t="s">
        <v>138</v>
      </c>
      <c r="C86" s="61">
        <v>3650</v>
      </c>
      <c r="D86" s="61">
        <f>2100+495-5.5</f>
        <v>2589.5</v>
      </c>
      <c r="E86" s="61"/>
      <c r="F86" s="61"/>
      <c r="G86" s="61">
        <v>-2000</v>
      </c>
      <c r="H86" s="61"/>
      <c r="I86" s="61">
        <v>77</v>
      </c>
      <c r="J86" s="61"/>
      <c r="K86" s="61"/>
      <c r="L86" s="61"/>
      <c r="M86" s="59">
        <f>SUM(D86:L86)</f>
        <v>666.5</v>
      </c>
      <c r="N86" s="59">
        <f t="shared" si="25"/>
        <v>4316.5</v>
      </c>
    </row>
    <row r="87" spans="1:14" ht="15" customHeight="1">
      <c r="A87" s="54" t="s">
        <v>139</v>
      </c>
      <c r="B87" s="54" t="s">
        <v>170</v>
      </c>
      <c r="C87" s="65">
        <f>SUM(C88)</f>
        <v>1700</v>
      </c>
      <c r="D87" s="65">
        <f aca="true" t="shared" si="26" ref="D87:L87">SUM(D88)</f>
        <v>150</v>
      </c>
      <c r="E87" s="65">
        <f t="shared" si="26"/>
        <v>30</v>
      </c>
      <c r="F87" s="65">
        <f t="shared" si="26"/>
        <v>0</v>
      </c>
      <c r="G87" s="65">
        <f t="shared" si="26"/>
        <v>0</v>
      </c>
      <c r="H87" s="65">
        <f t="shared" si="26"/>
        <v>0</v>
      </c>
      <c r="I87" s="65">
        <f t="shared" si="26"/>
        <v>250</v>
      </c>
      <c r="J87" s="65">
        <f t="shared" si="26"/>
        <v>0</v>
      </c>
      <c r="K87" s="65">
        <f t="shared" si="26"/>
        <v>0</v>
      </c>
      <c r="L87" s="65">
        <f t="shared" si="26"/>
        <v>0</v>
      </c>
      <c r="M87" s="56">
        <f>SUM(D87:L87)</f>
        <v>430</v>
      </c>
      <c r="N87" s="56">
        <f t="shared" si="25"/>
        <v>2130</v>
      </c>
    </row>
    <row r="88" spans="1:14" s="7" customFormat="1" ht="15.75" customHeight="1">
      <c r="A88" s="61" t="s">
        <v>140</v>
      </c>
      <c r="B88" s="66" t="s">
        <v>57</v>
      </c>
      <c r="C88" s="61">
        <v>1700</v>
      </c>
      <c r="D88" s="61">
        <v>150</v>
      </c>
      <c r="E88" s="61">
        <v>30</v>
      </c>
      <c r="F88" s="61"/>
      <c r="G88" s="61"/>
      <c r="H88" s="61"/>
      <c r="I88" s="61">
        <v>250</v>
      </c>
      <c r="J88" s="61"/>
      <c r="K88" s="61"/>
      <c r="L88" s="61"/>
      <c r="M88" s="59">
        <f>SUM(D88:L88)</f>
        <v>430</v>
      </c>
      <c r="N88" s="59">
        <f t="shared" si="25"/>
        <v>2130</v>
      </c>
    </row>
    <row r="89" spans="1:14" ht="18.75" customHeight="1">
      <c r="A89" s="142" t="s">
        <v>24</v>
      </c>
      <c r="B89" s="142"/>
      <c r="C89" s="65">
        <f>C84+C78+C74+C71+C66+C64+C61+C56+C44+C53+C87</f>
        <v>601053.9</v>
      </c>
      <c r="D89" s="65">
        <f aca="true" t="shared" si="27" ref="D89:L89">D84+D78+D74+D71+D66+D64+D61+D56+D44+D53+D87</f>
        <v>15643.000000000002</v>
      </c>
      <c r="E89" s="65">
        <f t="shared" si="27"/>
        <v>31692.800000000003</v>
      </c>
      <c r="F89" s="65">
        <f t="shared" si="27"/>
        <v>985.3</v>
      </c>
      <c r="G89" s="65">
        <f t="shared" si="27"/>
        <v>210</v>
      </c>
      <c r="H89" s="65">
        <f t="shared" si="27"/>
        <v>41889.200000000004</v>
      </c>
      <c r="I89" s="65">
        <f t="shared" si="27"/>
        <v>7903.799999999999</v>
      </c>
      <c r="J89" s="65">
        <f t="shared" si="27"/>
        <v>4529.1</v>
      </c>
      <c r="K89" s="65">
        <f t="shared" si="27"/>
        <v>49760.4</v>
      </c>
      <c r="L89" s="65">
        <f t="shared" si="27"/>
        <v>6752.7</v>
      </c>
      <c r="M89" s="56">
        <f>SUM(D89:L89)</f>
        <v>159366.30000000005</v>
      </c>
      <c r="N89" s="56">
        <f t="shared" si="25"/>
        <v>760420.2000000001</v>
      </c>
    </row>
    <row r="90" spans="1:14" ht="15.75" customHeight="1">
      <c r="A90" s="147" t="s">
        <v>103</v>
      </c>
      <c r="B90" s="148"/>
      <c r="C90" s="71">
        <f aca="true" t="shared" si="28" ref="C90:N90">C43-C89</f>
        <v>-12158.000000000116</v>
      </c>
      <c r="D90" s="71">
        <f t="shared" si="28"/>
        <v>-2190.4000000000015</v>
      </c>
      <c r="E90" s="71">
        <f t="shared" si="28"/>
        <v>0</v>
      </c>
      <c r="F90" s="72">
        <f t="shared" si="28"/>
        <v>0</v>
      </c>
      <c r="G90" s="71">
        <f t="shared" si="28"/>
        <v>0</v>
      </c>
      <c r="H90" s="71">
        <f t="shared" si="28"/>
        <v>0</v>
      </c>
      <c r="I90" s="71">
        <f t="shared" si="28"/>
        <v>0</v>
      </c>
      <c r="J90" s="71">
        <f t="shared" si="28"/>
        <v>0</v>
      </c>
      <c r="K90" s="71">
        <f t="shared" si="28"/>
        <v>0</v>
      </c>
      <c r="L90" s="71">
        <f t="shared" si="28"/>
        <v>0</v>
      </c>
      <c r="M90" s="71">
        <f t="shared" si="28"/>
        <v>-2190.4000000000233</v>
      </c>
      <c r="N90" s="71">
        <f t="shared" si="28"/>
        <v>-14348.40000000014</v>
      </c>
    </row>
    <row r="91" spans="1:14" ht="28.5" customHeight="1">
      <c r="A91" s="146" t="s">
        <v>104</v>
      </c>
      <c r="B91" s="146"/>
      <c r="C91" s="72">
        <f>C90/C4*100</f>
        <v>-9.999424280556406</v>
      </c>
      <c r="D91" s="72"/>
      <c r="E91" s="71"/>
      <c r="F91" s="71"/>
      <c r="G91" s="71"/>
      <c r="H91" s="71"/>
      <c r="I91" s="71"/>
      <c r="J91" s="71"/>
      <c r="K91" s="71"/>
      <c r="L91" s="71"/>
      <c r="M91" s="71"/>
      <c r="N91" s="72">
        <f>N90/N4*100</f>
        <v>-9.42228082709936</v>
      </c>
    </row>
    <row r="92" spans="1:14" ht="12.7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</row>
    <row r="93" spans="1:14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</row>
    <row r="94" spans="1:14" ht="12.7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</row>
    <row r="95" spans="1:14" ht="12.7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1:14" ht="12.7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</row>
    <row r="97" spans="1:14" ht="12.7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</row>
  </sheetData>
  <sheetProtection/>
  <mergeCells count="5">
    <mergeCell ref="A89:B89"/>
    <mergeCell ref="A1:N1"/>
    <mergeCell ref="A2:N2"/>
    <mergeCell ref="A91:B91"/>
    <mergeCell ref="A90:B90"/>
  </mergeCells>
  <printOptions horizont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1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7.25390625" style="87" customWidth="1"/>
    <col min="2" max="2" width="40.25390625" style="101" customWidth="1"/>
    <col min="3" max="3" width="15.625" style="87" customWidth="1"/>
    <col min="4" max="4" width="14.375" style="87" customWidth="1"/>
    <col min="5" max="5" width="13.875" style="87" customWidth="1"/>
    <col min="6" max="6" width="15.25390625" style="87" customWidth="1"/>
    <col min="7" max="7" width="16.00390625" style="85" customWidth="1"/>
    <col min="8" max="8" width="14.00390625" style="85" customWidth="1"/>
    <col min="9" max="9" width="15.125" style="85" customWidth="1"/>
    <col min="10" max="16384" width="9.125" style="85" customWidth="1"/>
  </cols>
  <sheetData>
    <row r="1" spans="1:6" ht="12.75">
      <c r="A1" s="153"/>
      <c r="B1" s="154"/>
      <c r="C1" s="154"/>
      <c r="D1" s="154"/>
      <c r="E1" s="154"/>
      <c r="F1" s="154"/>
    </row>
    <row r="2" spans="1:9" ht="41.25" customHeight="1">
      <c r="A2" s="150" t="s">
        <v>251</v>
      </c>
      <c r="B2" s="150"/>
      <c r="C2" s="150"/>
      <c r="D2" s="150"/>
      <c r="E2" s="150"/>
      <c r="F2" s="150"/>
      <c r="G2" s="150"/>
      <c r="H2" s="150"/>
      <c r="I2" s="150"/>
    </row>
    <row r="3" spans="1:9" ht="88.5" customHeight="1">
      <c r="A3" s="88"/>
      <c r="B3" s="88" t="s">
        <v>12</v>
      </c>
      <c r="C3" s="88" t="s">
        <v>252</v>
      </c>
      <c r="D3" s="88" t="s">
        <v>253</v>
      </c>
      <c r="E3" s="88" t="s">
        <v>28</v>
      </c>
      <c r="F3" s="88" t="s">
        <v>70</v>
      </c>
      <c r="G3" s="88" t="s">
        <v>254</v>
      </c>
      <c r="H3" s="88" t="s">
        <v>11</v>
      </c>
      <c r="I3" s="88" t="s">
        <v>51</v>
      </c>
    </row>
    <row r="4" spans="1:10" ht="12.75">
      <c r="A4" s="114" t="s">
        <v>71</v>
      </c>
      <c r="B4" s="89" t="s">
        <v>13</v>
      </c>
      <c r="C4" s="88">
        <f>SUM(C5:C11)</f>
        <v>58578.1</v>
      </c>
      <c r="D4" s="88">
        <f>SUM(D5:D11)</f>
        <v>57463.600000000006</v>
      </c>
      <c r="E4" s="88">
        <f>D4-C4</f>
        <v>-1114.4999999999927</v>
      </c>
      <c r="F4" s="88">
        <f>E4/C4*100</f>
        <v>-1.9025881686159036</v>
      </c>
      <c r="G4" s="122">
        <f>SUM(G5:G11)</f>
        <v>57463.600000000006</v>
      </c>
      <c r="H4" s="122">
        <f>G4/D4*100</f>
        <v>100</v>
      </c>
      <c r="I4" s="125">
        <f>G4/G49*100</f>
        <v>8.667659377801806</v>
      </c>
      <c r="J4" s="90"/>
    </row>
    <row r="5" spans="1:9" ht="38.25">
      <c r="A5" s="113" t="s">
        <v>221</v>
      </c>
      <c r="B5" s="92" t="s">
        <v>231</v>
      </c>
      <c r="C5" s="126">
        <v>1273.6</v>
      </c>
      <c r="D5" s="126">
        <v>1424.4</v>
      </c>
      <c r="E5" s="126">
        <f>D5-C5</f>
        <v>150.80000000000018</v>
      </c>
      <c r="F5" s="126">
        <f aca="true" t="shared" si="0" ref="F5:F49">E5/C5*100</f>
        <v>11.840452261306547</v>
      </c>
      <c r="G5" s="126">
        <v>1424.4</v>
      </c>
      <c r="H5" s="127">
        <f aca="true" t="shared" si="1" ref="H5:H49">G5/D5*100</f>
        <v>100</v>
      </c>
      <c r="I5" s="123">
        <f>G5/$G49*100</f>
        <v>0.21485277667498887</v>
      </c>
    </row>
    <row r="6" spans="1:9" ht="51.75" customHeight="1">
      <c r="A6" s="113" t="s">
        <v>222</v>
      </c>
      <c r="B6" s="92" t="s">
        <v>232</v>
      </c>
      <c r="C6" s="126">
        <v>1529.6</v>
      </c>
      <c r="D6" s="126">
        <v>1596.4</v>
      </c>
      <c r="E6" s="126">
        <f aca="true" t="shared" si="2" ref="E6:E49">D6-C6</f>
        <v>66.80000000000018</v>
      </c>
      <c r="F6" s="126">
        <f t="shared" si="0"/>
        <v>4.367154811715493</v>
      </c>
      <c r="G6" s="126">
        <v>1596.4</v>
      </c>
      <c r="H6" s="127">
        <f t="shared" si="1"/>
        <v>100</v>
      </c>
      <c r="I6" s="123">
        <f>G6/G49*100</f>
        <v>0.24079680755683253</v>
      </c>
    </row>
    <row r="7" spans="1:9" ht="66.75" customHeight="1">
      <c r="A7" s="113" t="s">
        <v>223</v>
      </c>
      <c r="B7" s="92" t="s">
        <v>198</v>
      </c>
      <c r="C7" s="126">
        <v>26504</v>
      </c>
      <c r="D7" s="126">
        <v>29252.2</v>
      </c>
      <c r="E7" s="126">
        <f t="shared" si="2"/>
        <v>2748.2000000000007</v>
      </c>
      <c r="F7" s="126">
        <f t="shared" si="0"/>
        <v>10.369000905523697</v>
      </c>
      <c r="G7" s="126">
        <v>29252.2</v>
      </c>
      <c r="H7" s="127">
        <f t="shared" si="1"/>
        <v>100</v>
      </c>
      <c r="I7" s="123">
        <f>G7/G49*100</f>
        <v>4.412325466057364</v>
      </c>
    </row>
    <row r="8" spans="1:9" ht="12.75">
      <c r="A8" s="113" t="s">
        <v>224</v>
      </c>
      <c r="B8" s="92" t="s">
        <v>37</v>
      </c>
      <c r="C8" s="126">
        <v>5.7</v>
      </c>
      <c r="D8" s="126">
        <v>5.7</v>
      </c>
      <c r="E8" s="126">
        <f t="shared" si="2"/>
        <v>0</v>
      </c>
      <c r="F8" s="126">
        <f t="shared" si="0"/>
        <v>0</v>
      </c>
      <c r="G8" s="126">
        <v>5.7</v>
      </c>
      <c r="H8" s="127">
        <f t="shared" si="1"/>
        <v>100</v>
      </c>
      <c r="I8" s="123">
        <f>G8/G49*100</f>
        <v>0.0008597731164331905</v>
      </c>
    </row>
    <row r="9" spans="1:10" ht="52.5" customHeight="1">
      <c r="A9" s="113" t="s">
        <v>225</v>
      </c>
      <c r="B9" s="92" t="s">
        <v>233</v>
      </c>
      <c r="C9" s="126">
        <v>6400.7</v>
      </c>
      <c r="D9" s="126">
        <v>6501.1</v>
      </c>
      <c r="E9" s="126">
        <f t="shared" si="2"/>
        <v>100.40000000000055</v>
      </c>
      <c r="F9" s="126">
        <f t="shared" si="0"/>
        <v>1.5685784367334907</v>
      </c>
      <c r="G9" s="126">
        <v>6501.1</v>
      </c>
      <c r="H9" s="127">
        <f t="shared" si="1"/>
        <v>100</v>
      </c>
      <c r="I9" s="123">
        <f>G9/G49*100</f>
        <v>0.9806089486392657</v>
      </c>
      <c r="J9" s="90"/>
    </row>
    <row r="10" spans="1:9" ht="12.75">
      <c r="A10" s="115" t="s">
        <v>190</v>
      </c>
      <c r="B10" s="92" t="s">
        <v>41</v>
      </c>
      <c r="C10" s="126">
        <v>5950</v>
      </c>
      <c r="D10" s="126">
        <v>0</v>
      </c>
      <c r="E10" s="126">
        <f t="shared" si="2"/>
        <v>-5950</v>
      </c>
      <c r="F10" s="126">
        <f t="shared" si="0"/>
        <v>-100</v>
      </c>
      <c r="G10" s="126">
        <v>0</v>
      </c>
      <c r="H10" s="127" t="e">
        <f t="shared" si="1"/>
        <v>#DIV/0!</v>
      </c>
      <c r="I10" s="123">
        <f>G10/G49*100</f>
        <v>0</v>
      </c>
    </row>
    <row r="11" spans="1:9" ht="18" customHeight="1">
      <c r="A11" s="113" t="s">
        <v>191</v>
      </c>
      <c r="B11" s="92" t="s">
        <v>42</v>
      </c>
      <c r="C11" s="126">
        <v>16914.5</v>
      </c>
      <c r="D11" s="126">
        <v>18683.8</v>
      </c>
      <c r="E11" s="126">
        <f t="shared" si="2"/>
        <v>1769.2999999999993</v>
      </c>
      <c r="F11" s="126">
        <f t="shared" si="0"/>
        <v>10.460255993378457</v>
      </c>
      <c r="G11" s="126">
        <v>18683.8</v>
      </c>
      <c r="H11" s="127">
        <f t="shared" si="1"/>
        <v>100</v>
      </c>
      <c r="I11" s="123">
        <f>G11/G49*100</f>
        <v>2.81821560575692</v>
      </c>
    </row>
    <row r="12" spans="1:9" s="94" customFormat="1" ht="38.25">
      <c r="A12" s="116" t="s">
        <v>14</v>
      </c>
      <c r="B12" s="93" t="s">
        <v>79</v>
      </c>
      <c r="C12" s="88">
        <f>SUM(C13:C14)</f>
        <v>983.7</v>
      </c>
      <c r="D12" s="88">
        <f>SUM(D13:D14)</f>
        <v>915.3000000000001</v>
      </c>
      <c r="E12" s="88">
        <f t="shared" si="2"/>
        <v>-68.39999999999998</v>
      </c>
      <c r="F12" s="88">
        <f t="shared" si="0"/>
        <v>-6.953339432753886</v>
      </c>
      <c r="G12" s="122">
        <f>SUM(G13:G14)</f>
        <v>915.3000000000001</v>
      </c>
      <c r="H12" s="122">
        <f t="shared" si="1"/>
        <v>100</v>
      </c>
      <c r="I12" s="125">
        <f>G12/G49*100</f>
        <v>0.13806146201250866</v>
      </c>
    </row>
    <row r="13" spans="1:9" s="94" customFormat="1" ht="51">
      <c r="A13" s="117" t="s">
        <v>181</v>
      </c>
      <c r="B13" s="95" t="s">
        <v>186</v>
      </c>
      <c r="C13" s="128">
        <v>164.7</v>
      </c>
      <c r="D13" s="128">
        <v>95.1</v>
      </c>
      <c r="E13" s="88">
        <f t="shared" si="2"/>
        <v>-69.6</v>
      </c>
      <c r="F13" s="88">
        <f t="shared" si="0"/>
        <v>-42.25865209471767</v>
      </c>
      <c r="G13" s="128">
        <v>95.1</v>
      </c>
      <c r="H13" s="122">
        <f t="shared" si="1"/>
        <v>100</v>
      </c>
      <c r="I13" s="123">
        <f>G13/G49*100</f>
        <v>0.014344635679437967</v>
      </c>
    </row>
    <row r="14" spans="1:9" ht="38.25">
      <c r="A14" s="113" t="s">
        <v>7</v>
      </c>
      <c r="B14" s="92" t="s">
        <v>93</v>
      </c>
      <c r="C14" s="128">
        <v>819</v>
      </c>
      <c r="D14" s="128">
        <v>820.2</v>
      </c>
      <c r="E14" s="88">
        <f t="shared" si="2"/>
        <v>1.2000000000000455</v>
      </c>
      <c r="F14" s="88">
        <f t="shared" si="0"/>
        <v>0.14652014652015208</v>
      </c>
      <c r="G14" s="128">
        <v>820.2</v>
      </c>
      <c r="H14" s="122">
        <f t="shared" si="1"/>
        <v>100</v>
      </c>
      <c r="I14" s="123">
        <f>G14/G49*100</f>
        <v>0.1237168263330707</v>
      </c>
    </row>
    <row r="15" spans="1:9" s="96" customFormat="1" ht="12.75">
      <c r="A15" s="114" t="s">
        <v>15</v>
      </c>
      <c r="B15" s="89" t="s">
        <v>44</v>
      </c>
      <c r="C15" s="88">
        <f>SUM(C16:C18)</f>
        <v>22337</v>
      </c>
      <c r="D15" s="88">
        <f>SUM(D16:D18)</f>
        <v>24455.3</v>
      </c>
      <c r="E15" s="88">
        <f>D15-C15</f>
        <v>2118.2999999999993</v>
      </c>
      <c r="F15" s="88">
        <f t="shared" si="0"/>
        <v>9.48336840220262</v>
      </c>
      <c r="G15" s="122">
        <f>SUM(G16:G18)</f>
        <v>23966.3</v>
      </c>
      <c r="H15" s="122">
        <f t="shared" si="1"/>
        <v>98.00043344387515</v>
      </c>
      <c r="I15" s="125">
        <f>G15/G49*100</f>
        <v>3.615014112346101</v>
      </c>
    </row>
    <row r="16" spans="1:9" ht="12.75">
      <c r="A16" s="113" t="s">
        <v>204</v>
      </c>
      <c r="B16" s="92" t="s">
        <v>228</v>
      </c>
      <c r="C16" s="126">
        <v>21813.8</v>
      </c>
      <c r="D16" s="126">
        <v>2.4</v>
      </c>
      <c r="E16" s="126">
        <f>D16-C16</f>
        <v>-21811.399999999998</v>
      </c>
      <c r="F16" s="126">
        <f>E16/C16*100</f>
        <v>-99.98899779038956</v>
      </c>
      <c r="G16" s="126">
        <v>2.4</v>
      </c>
      <c r="H16" s="127">
        <f t="shared" si="1"/>
        <v>100</v>
      </c>
      <c r="I16" s="123">
        <f>G16/G49*100</f>
        <v>0.00036200973323502754</v>
      </c>
    </row>
    <row r="17" spans="1:9" ht="12.75">
      <c r="A17" s="113" t="s">
        <v>205</v>
      </c>
      <c r="B17" s="92" t="s">
        <v>199</v>
      </c>
      <c r="C17" s="126">
        <v>523.2</v>
      </c>
      <c r="D17" s="126">
        <v>23216.1</v>
      </c>
      <c r="E17" s="126">
        <f>D17-C17</f>
        <v>22692.899999999998</v>
      </c>
      <c r="F17" s="126">
        <f>E17/C17*100</f>
        <v>4337.327981651375</v>
      </c>
      <c r="G17" s="126">
        <v>22727.1</v>
      </c>
      <c r="H17" s="127">
        <f t="shared" si="1"/>
        <v>97.89370307674416</v>
      </c>
      <c r="I17" s="123">
        <f>G17/G49*100</f>
        <v>3.428096420085748</v>
      </c>
    </row>
    <row r="18" spans="1:9" ht="25.5">
      <c r="A18" s="113" t="s">
        <v>206</v>
      </c>
      <c r="B18" s="92" t="s">
        <v>257</v>
      </c>
      <c r="C18" s="126">
        <v>0</v>
      </c>
      <c r="D18" s="126">
        <v>1236.8</v>
      </c>
      <c r="E18" s="126"/>
      <c r="F18" s="126"/>
      <c r="G18" s="126">
        <v>1236.8</v>
      </c>
      <c r="H18" s="127"/>
      <c r="I18" s="123"/>
    </row>
    <row r="19" spans="1:9" s="96" customFormat="1" ht="25.5">
      <c r="A19" s="114" t="s">
        <v>16</v>
      </c>
      <c r="B19" s="89" t="s">
        <v>17</v>
      </c>
      <c r="C19" s="88">
        <f>SUM(C20:C22)</f>
        <v>7518</v>
      </c>
      <c r="D19" s="88">
        <f>SUM(D20:D22)</f>
        <v>3165.3</v>
      </c>
      <c r="E19" s="88">
        <f t="shared" si="2"/>
        <v>-4352.7</v>
      </c>
      <c r="F19" s="88">
        <f t="shared" si="0"/>
        <v>-57.897047086991215</v>
      </c>
      <c r="G19" s="122">
        <f>SUM(G20:G22)</f>
        <v>3165.3</v>
      </c>
      <c r="H19" s="122">
        <f t="shared" si="1"/>
        <v>100</v>
      </c>
      <c r="I19" s="125">
        <f>G19/G49*100</f>
        <v>0.4774455869203471</v>
      </c>
    </row>
    <row r="20" spans="1:9" ht="12.75">
      <c r="A20" s="113" t="s">
        <v>207</v>
      </c>
      <c r="B20" s="92" t="s">
        <v>94</v>
      </c>
      <c r="C20" s="126">
        <v>609.1</v>
      </c>
      <c r="D20" s="126">
        <v>1118.2</v>
      </c>
      <c r="E20" s="126">
        <f t="shared" si="2"/>
        <v>509.1</v>
      </c>
      <c r="F20" s="126">
        <f t="shared" si="0"/>
        <v>83.58233459202101</v>
      </c>
      <c r="G20" s="126">
        <v>1118.2</v>
      </c>
      <c r="H20" s="127">
        <f t="shared" si="1"/>
        <v>100</v>
      </c>
      <c r="I20" s="123">
        <f>G20/G49*100</f>
        <v>0.16866636820975328</v>
      </c>
    </row>
    <row r="21" spans="1:9" ht="12.75">
      <c r="A21" s="113" t="s">
        <v>187</v>
      </c>
      <c r="B21" s="92" t="s">
        <v>95</v>
      </c>
      <c r="C21" s="126">
        <v>6908.9</v>
      </c>
      <c r="D21" s="126">
        <v>247.1</v>
      </c>
      <c r="E21" s="126">
        <f t="shared" si="2"/>
        <v>-6661.799999999999</v>
      </c>
      <c r="F21" s="126">
        <f t="shared" si="0"/>
        <v>-96.42345380596042</v>
      </c>
      <c r="G21" s="126">
        <v>247.1</v>
      </c>
      <c r="H21" s="127">
        <f t="shared" si="1"/>
        <v>100</v>
      </c>
      <c r="I21" s="123">
        <f>G21/G49*100</f>
        <v>0.037271918784323045</v>
      </c>
    </row>
    <row r="22" spans="1:9" ht="12.75">
      <c r="A22" s="113" t="s">
        <v>200</v>
      </c>
      <c r="B22" s="92" t="s">
        <v>229</v>
      </c>
      <c r="C22" s="126">
        <v>0</v>
      </c>
      <c r="D22" s="126">
        <v>1800</v>
      </c>
      <c r="E22" s="126">
        <f t="shared" si="2"/>
        <v>1800</v>
      </c>
      <c r="F22" s="126" t="e">
        <f t="shared" si="0"/>
        <v>#DIV/0!</v>
      </c>
      <c r="G22" s="126">
        <v>1800</v>
      </c>
      <c r="H22" s="127">
        <f t="shared" si="1"/>
        <v>100</v>
      </c>
      <c r="I22" s="123">
        <f>G22/G49*100</f>
        <v>0.2715072999262707</v>
      </c>
    </row>
    <row r="23" spans="1:9" s="96" customFormat="1" ht="12.75">
      <c r="A23" s="114" t="s">
        <v>26</v>
      </c>
      <c r="B23" s="89" t="s">
        <v>48</v>
      </c>
      <c r="C23" s="88">
        <f>C24</f>
        <v>460.3</v>
      </c>
      <c r="D23" s="88">
        <f>D24</f>
        <v>887.3</v>
      </c>
      <c r="E23" s="88">
        <f t="shared" si="2"/>
        <v>426.99999999999994</v>
      </c>
      <c r="F23" s="88">
        <f t="shared" si="0"/>
        <v>92.76558766022158</v>
      </c>
      <c r="G23" s="122">
        <f>G24</f>
        <v>887.3</v>
      </c>
      <c r="H23" s="122">
        <f t="shared" si="1"/>
        <v>100</v>
      </c>
      <c r="I23" s="125">
        <f>G23/G49*100</f>
        <v>0.13383801512476665</v>
      </c>
    </row>
    <row r="24" spans="1:9" ht="25.5">
      <c r="A24" s="113" t="s">
        <v>220</v>
      </c>
      <c r="B24" s="92" t="s">
        <v>201</v>
      </c>
      <c r="C24" s="126">
        <v>460.3</v>
      </c>
      <c r="D24" s="126">
        <v>887.3</v>
      </c>
      <c r="E24" s="126">
        <f t="shared" si="2"/>
        <v>426.99999999999994</v>
      </c>
      <c r="F24" s="126">
        <f t="shared" si="0"/>
        <v>92.76558766022158</v>
      </c>
      <c r="G24" s="126">
        <v>887.3</v>
      </c>
      <c r="H24" s="127">
        <f t="shared" si="1"/>
        <v>100</v>
      </c>
      <c r="I24" s="123">
        <f>G24/G49*100</f>
        <v>0.13383801512476665</v>
      </c>
    </row>
    <row r="25" spans="1:9" s="96" customFormat="1" ht="12.75">
      <c r="A25" s="114" t="s">
        <v>20</v>
      </c>
      <c r="B25" s="89" t="s">
        <v>49</v>
      </c>
      <c r="C25" s="88">
        <f>SUM(C26:C30)</f>
        <v>481713.80000000005</v>
      </c>
      <c r="D25" s="88">
        <f>SUM(D26:D30)</f>
        <v>448045.3</v>
      </c>
      <c r="E25" s="88">
        <f t="shared" si="2"/>
        <v>-33668.50000000006</v>
      </c>
      <c r="F25" s="88">
        <f t="shared" si="0"/>
        <v>-6.989316062774215</v>
      </c>
      <c r="G25" s="122">
        <f>SUM(G26:G30)</f>
        <v>448045.3</v>
      </c>
      <c r="H25" s="122">
        <f t="shared" si="1"/>
        <v>100</v>
      </c>
      <c r="I25" s="125">
        <f>G25/G49*100</f>
        <v>67.58198313758663</v>
      </c>
    </row>
    <row r="26" spans="1:9" ht="12.75">
      <c r="A26" s="113" t="s">
        <v>211</v>
      </c>
      <c r="B26" s="92" t="s">
        <v>50</v>
      </c>
      <c r="C26" s="126">
        <v>114893.2</v>
      </c>
      <c r="D26" s="126">
        <v>124740.5</v>
      </c>
      <c r="E26" s="126">
        <f t="shared" si="2"/>
        <v>9847.300000000003</v>
      </c>
      <c r="F26" s="126">
        <f t="shared" si="0"/>
        <v>8.570829257083973</v>
      </c>
      <c r="G26" s="126">
        <v>124740.5</v>
      </c>
      <c r="H26" s="127">
        <f t="shared" si="1"/>
        <v>100</v>
      </c>
      <c r="I26" s="123">
        <f>G26/G49*100</f>
        <v>18.815531303584983</v>
      </c>
    </row>
    <row r="27" spans="1:9" ht="12.75">
      <c r="A27" s="113" t="s">
        <v>210</v>
      </c>
      <c r="B27" s="92" t="s">
        <v>52</v>
      </c>
      <c r="C27" s="126">
        <v>246426.5</v>
      </c>
      <c r="D27" s="126">
        <v>249649.4</v>
      </c>
      <c r="E27" s="126">
        <f t="shared" si="2"/>
        <v>3222.899999999994</v>
      </c>
      <c r="F27" s="126">
        <f t="shared" si="0"/>
        <v>1.3078544718201957</v>
      </c>
      <c r="G27" s="126">
        <v>249649.4</v>
      </c>
      <c r="H27" s="127">
        <f t="shared" si="1"/>
        <v>100</v>
      </c>
      <c r="I27" s="123">
        <f>G27/G49*100</f>
        <v>37.656463623451955</v>
      </c>
    </row>
    <row r="28" spans="1:9" ht="12.75">
      <c r="A28" s="113" t="s">
        <v>208</v>
      </c>
      <c r="B28" s="124" t="s">
        <v>202</v>
      </c>
      <c r="C28" s="126">
        <v>21780.9</v>
      </c>
      <c r="D28" s="126">
        <v>22897.6</v>
      </c>
      <c r="E28" s="126">
        <f t="shared" si="2"/>
        <v>1116.699999999997</v>
      </c>
      <c r="F28" s="126">
        <f t="shared" si="0"/>
        <v>5.126969041683296</v>
      </c>
      <c r="G28" s="126">
        <v>22897.6</v>
      </c>
      <c r="H28" s="127">
        <f t="shared" si="1"/>
        <v>100</v>
      </c>
      <c r="I28" s="123">
        <f>G28/G49*100</f>
        <v>3.45381419488432</v>
      </c>
    </row>
    <row r="29" spans="1:9" ht="12.75">
      <c r="A29" s="113" t="s">
        <v>209</v>
      </c>
      <c r="B29" s="92" t="s">
        <v>255</v>
      </c>
      <c r="C29" s="126">
        <v>5385.4</v>
      </c>
      <c r="D29" s="126">
        <v>5738.1</v>
      </c>
      <c r="E29" s="126">
        <f t="shared" si="2"/>
        <v>352.7000000000007</v>
      </c>
      <c r="F29" s="126">
        <f t="shared" si="0"/>
        <v>6.549188546811764</v>
      </c>
      <c r="G29" s="126">
        <v>5738.1</v>
      </c>
      <c r="H29" s="127">
        <f t="shared" si="1"/>
        <v>100</v>
      </c>
      <c r="I29" s="123">
        <f>G29/G49*100</f>
        <v>0.8655200209482966</v>
      </c>
    </row>
    <row r="30" spans="1:9" ht="12.75">
      <c r="A30" s="113" t="s">
        <v>212</v>
      </c>
      <c r="B30" s="92" t="s">
        <v>54</v>
      </c>
      <c r="C30" s="126">
        <v>93227.8</v>
      </c>
      <c r="D30" s="126">
        <v>45019.7</v>
      </c>
      <c r="E30" s="126">
        <f t="shared" si="2"/>
        <v>-48208.100000000006</v>
      </c>
      <c r="F30" s="126">
        <f t="shared" si="0"/>
        <v>-51.710004955603374</v>
      </c>
      <c r="G30" s="126">
        <v>45019.7</v>
      </c>
      <c r="H30" s="127">
        <f t="shared" si="1"/>
        <v>100</v>
      </c>
      <c r="I30" s="123">
        <f>G30/G49*100</f>
        <v>6.79065399471707</v>
      </c>
    </row>
    <row r="31" spans="1:9" s="96" customFormat="1" ht="12.75">
      <c r="A31" s="114" t="s">
        <v>22</v>
      </c>
      <c r="B31" s="89" t="s">
        <v>194</v>
      </c>
      <c r="C31" s="88">
        <f>SUM(C32:C33)</f>
        <v>29969.1</v>
      </c>
      <c r="D31" s="88">
        <f>SUM(D32:D33)</f>
        <v>31912.4</v>
      </c>
      <c r="E31" s="88">
        <f t="shared" si="2"/>
        <v>1943.300000000003</v>
      </c>
      <c r="F31" s="88">
        <f t="shared" si="0"/>
        <v>6.48434554257553</v>
      </c>
      <c r="G31" s="122">
        <f>SUM(G32:G33)</f>
        <v>31912.4</v>
      </c>
      <c r="H31" s="122">
        <f t="shared" si="1"/>
        <v>100</v>
      </c>
      <c r="I31" s="125">
        <f>G31/G49*100</f>
        <v>4.813583087870623</v>
      </c>
    </row>
    <row r="32" spans="1:9" ht="12.75">
      <c r="A32" s="113" t="s">
        <v>217</v>
      </c>
      <c r="B32" s="92" t="s">
        <v>55</v>
      </c>
      <c r="C32" s="126">
        <v>27654.6</v>
      </c>
      <c r="D32" s="126">
        <v>28871.5</v>
      </c>
      <c r="E32" s="126">
        <f t="shared" si="2"/>
        <v>1216.9000000000015</v>
      </c>
      <c r="F32" s="126">
        <f t="shared" si="0"/>
        <v>4.400352925010672</v>
      </c>
      <c r="G32" s="126">
        <v>28871.5</v>
      </c>
      <c r="H32" s="127">
        <f t="shared" si="1"/>
        <v>100</v>
      </c>
      <c r="I32" s="123">
        <f>G32/G49*100</f>
        <v>4.354901672122958</v>
      </c>
    </row>
    <row r="33" spans="1:9" ht="25.5">
      <c r="A33" s="113" t="s">
        <v>218</v>
      </c>
      <c r="B33" s="92" t="s">
        <v>203</v>
      </c>
      <c r="C33" s="126">
        <v>2314.5</v>
      </c>
      <c r="D33" s="126">
        <v>3040.9</v>
      </c>
      <c r="E33" s="126">
        <f t="shared" si="2"/>
        <v>726.4000000000001</v>
      </c>
      <c r="F33" s="126">
        <f t="shared" si="0"/>
        <v>31.38474832577231</v>
      </c>
      <c r="G33" s="126">
        <v>3040.9</v>
      </c>
      <c r="H33" s="127">
        <f t="shared" si="1"/>
        <v>100</v>
      </c>
      <c r="I33" s="123">
        <f>G33/G49*100</f>
        <v>0.4586814157476648</v>
      </c>
    </row>
    <row r="34" spans="1:9" s="96" customFormat="1" ht="12.75">
      <c r="A34" s="114" t="s">
        <v>76</v>
      </c>
      <c r="B34" s="89" t="s">
        <v>166</v>
      </c>
      <c r="C34" s="88">
        <f>SUM(C35:C36)</f>
        <v>750.2</v>
      </c>
      <c r="D34" s="88">
        <f>SUM(D35:D36)</f>
        <v>406.2</v>
      </c>
      <c r="E34" s="88">
        <f t="shared" si="2"/>
        <v>-344.00000000000006</v>
      </c>
      <c r="F34" s="88">
        <f t="shared" si="0"/>
        <v>-45.85443881631565</v>
      </c>
      <c r="G34" s="122">
        <f>SUM(G35:G36)</f>
        <v>114</v>
      </c>
      <c r="H34" s="122">
        <f t="shared" si="1"/>
        <v>28.06499261447563</v>
      </c>
      <c r="I34" s="125">
        <f>G34/G49*100</f>
        <v>0.01719546232866381</v>
      </c>
    </row>
    <row r="35" spans="1:9" ht="25.5">
      <c r="A35" s="113" t="s">
        <v>182</v>
      </c>
      <c r="B35" s="92" t="s">
        <v>179</v>
      </c>
      <c r="C35" s="126">
        <v>292.2</v>
      </c>
      <c r="D35" s="126">
        <v>292.2</v>
      </c>
      <c r="E35" s="126">
        <f t="shared" si="2"/>
        <v>0</v>
      </c>
      <c r="F35" s="126">
        <f t="shared" si="0"/>
        <v>0</v>
      </c>
      <c r="G35" s="126">
        <v>0</v>
      </c>
      <c r="H35" s="127">
        <f t="shared" si="1"/>
        <v>0</v>
      </c>
      <c r="I35" s="123">
        <f>G35/G49*100</f>
        <v>0</v>
      </c>
    </row>
    <row r="36" spans="1:9" ht="12.75">
      <c r="A36" s="113" t="s">
        <v>213</v>
      </c>
      <c r="B36" s="92" t="s">
        <v>135</v>
      </c>
      <c r="C36" s="126">
        <v>458</v>
      </c>
      <c r="D36" s="126">
        <v>114</v>
      </c>
      <c r="E36" s="126">
        <f t="shared" si="2"/>
        <v>-344</v>
      </c>
      <c r="F36" s="126">
        <f t="shared" si="0"/>
        <v>-75.10917030567686</v>
      </c>
      <c r="G36" s="126">
        <v>114</v>
      </c>
      <c r="H36" s="127">
        <f t="shared" si="1"/>
        <v>100</v>
      </c>
      <c r="I36" s="123">
        <f>G36/G49*100</f>
        <v>0.01719546232866381</v>
      </c>
    </row>
    <row r="37" spans="1:9" s="96" customFormat="1" ht="12.75">
      <c r="A37" s="114" t="s">
        <v>83</v>
      </c>
      <c r="B37" s="89" t="s">
        <v>167</v>
      </c>
      <c r="C37" s="88">
        <f>SUM(C38:C41)</f>
        <v>31193.7</v>
      </c>
      <c r="D37" s="88">
        <f>SUM(D38:D41)</f>
        <v>39853.2</v>
      </c>
      <c r="E37" s="88">
        <f t="shared" si="2"/>
        <v>8659.499999999996</v>
      </c>
      <c r="F37" s="88">
        <f t="shared" si="0"/>
        <v>27.76041316034967</v>
      </c>
      <c r="G37" s="122">
        <f>SUM(G38:G41)</f>
        <v>39853.2</v>
      </c>
      <c r="H37" s="122">
        <f t="shared" si="1"/>
        <v>100</v>
      </c>
      <c r="I37" s="125">
        <f>G37/G49*100</f>
        <v>6.01135262523425</v>
      </c>
    </row>
    <row r="38" spans="1:9" ht="12.75">
      <c r="A38" s="113" t="s">
        <v>216</v>
      </c>
      <c r="B38" s="92" t="s">
        <v>97</v>
      </c>
      <c r="C38" s="126">
        <v>1665</v>
      </c>
      <c r="D38" s="126">
        <v>1667</v>
      </c>
      <c r="E38" s="126">
        <f t="shared" si="2"/>
        <v>2</v>
      </c>
      <c r="F38" s="126">
        <f t="shared" si="0"/>
        <v>0.12012012012012012</v>
      </c>
      <c r="G38" s="126">
        <v>1667</v>
      </c>
      <c r="H38" s="127">
        <f t="shared" si="1"/>
        <v>100</v>
      </c>
      <c r="I38" s="123">
        <f>G38/G49*100</f>
        <v>0.25144592720949627</v>
      </c>
    </row>
    <row r="39" spans="1:9" ht="12.75">
      <c r="A39" s="113" t="s">
        <v>214</v>
      </c>
      <c r="B39" s="92" t="s">
        <v>63</v>
      </c>
      <c r="C39" s="126">
        <v>24368.7</v>
      </c>
      <c r="D39" s="126">
        <v>32194.7</v>
      </c>
      <c r="E39" s="126">
        <f t="shared" si="2"/>
        <v>7826</v>
      </c>
      <c r="F39" s="126">
        <f t="shared" si="0"/>
        <v>32.11496715048402</v>
      </c>
      <c r="G39" s="126">
        <v>32194.7</v>
      </c>
      <c r="H39" s="127">
        <f t="shared" si="1"/>
        <v>100</v>
      </c>
      <c r="I39" s="123">
        <f>G39/G49*100</f>
        <v>4.856164482742393</v>
      </c>
    </row>
    <row r="40" spans="1:9" ht="12.75">
      <c r="A40" s="113" t="s">
        <v>215</v>
      </c>
      <c r="B40" s="92" t="s">
        <v>78</v>
      </c>
      <c r="C40" s="126">
        <v>5160</v>
      </c>
      <c r="D40" s="126">
        <v>5610</v>
      </c>
      <c r="E40" s="126">
        <f t="shared" si="2"/>
        <v>450</v>
      </c>
      <c r="F40" s="126">
        <f t="shared" si="0"/>
        <v>8.720930232558139</v>
      </c>
      <c r="G40" s="126">
        <v>5610</v>
      </c>
      <c r="H40" s="127">
        <f t="shared" si="1"/>
        <v>100</v>
      </c>
      <c r="I40" s="123">
        <f>G40/G49*100</f>
        <v>0.846197751436877</v>
      </c>
    </row>
    <row r="41" spans="1:9" ht="25.5">
      <c r="A41" s="113" t="s">
        <v>256</v>
      </c>
      <c r="B41" s="92" t="s">
        <v>64</v>
      </c>
      <c r="C41" s="126">
        <v>0</v>
      </c>
      <c r="D41" s="126">
        <v>381.5</v>
      </c>
      <c r="E41" s="126"/>
      <c r="F41" s="126"/>
      <c r="G41" s="126">
        <v>381.5</v>
      </c>
      <c r="H41" s="127"/>
      <c r="I41" s="123"/>
    </row>
    <row r="42" spans="1:9" s="96" customFormat="1" ht="16.5" customHeight="1">
      <c r="A42" s="114" t="s">
        <v>88</v>
      </c>
      <c r="B42" s="89" t="s">
        <v>169</v>
      </c>
      <c r="C42" s="88">
        <f>SUM(C43:C43)</f>
        <v>5737.5</v>
      </c>
      <c r="D42" s="88">
        <f>SUM(D43:D43)</f>
        <v>9349.7</v>
      </c>
      <c r="E42" s="88">
        <f t="shared" si="2"/>
        <v>3612.2000000000007</v>
      </c>
      <c r="F42" s="88">
        <f t="shared" si="0"/>
        <v>62.957734204793034</v>
      </c>
      <c r="G42" s="122">
        <f>G43</f>
        <v>9038.2</v>
      </c>
      <c r="H42" s="122">
        <f t="shared" si="1"/>
        <v>96.66834229975294</v>
      </c>
      <c r="I42" s="125">
        <f>G42/G49*100</f>
        <v>1.3632984878853445</v>
      </c>
    </row>
    <row r="43" spans="1:9" s="96" customFormat="1" ht="16.5" customHeight="1">
      <c r="A43" s="118" t="s">
        <v>180</v>
      </c>
      <c r="B43" s="95" t="s">
        <v>196</v>
      </c>
      <c r="C43" s="126">
        <v>5737.5</v>
      </c>
      <c r="D43" s="126">
        <v>9349.7</v>
      </c>
      <c r="E43" s="126">
        <f t="shared" si="2"/>
        <v>3612.2000000000007</v>
      </c>
      <c r="F43" s="126">
        <f t="shared" si="0"/>
        <v>62.957734204793034</v>
      </c>
      <c r="G43" s="126">
        <v>9038.2</v>
      </c>
      <c r="H43" s="127">
        <f t="shared" si="1"/>
        <v>96.66834229975294</v>
      </c>
      <c r="I43" s="123">
        <f>G43/G49*100</f>
        <v>1.3632984878853445</v>
      </c>
    </row>
    <row r="44" spans="1:9" s="96" customFormat="1" ht="27.75" customHeight="1">
      <c r="A44" s="114" t="s">
        <v>139</v>
      </c>
      <c r="B44" s="93" t="s">
        <v>189</v>
      </c>
      <c r="C44" s="88">
        <f>C45</f>
        <v>80.3</v>
      </c>
      <c r="D44" s="88">
        <f>D45</f>
        <v>75.3</v>
      </c>
      <c r="E44" s="88">
        <f t="shared" si="2"/>
        <v>-5</v>
      </c>
      <c r="F44" s="88">
        <f t="shared" si="0"/>
        <v>-6.226650062266501</v>
      </c>
      <c r="G44" s="122">
        <f>G45</f>
        <v>75.3</v>
      </c>
      <c r="H44" s="122">
        <f t="shared" si="1"/>
        <v>100</v>
      </c>
      <c r="I44" s="125">
        <f>G44/G49*100</f>
        <v>0.01135805538024899</v>
      </c>
    </row>
    <row r="45" spans="1:9" ht="25.5">
      <c r="A45" s="113" t="s">
        <v>219</v>
      </c>
      <c r="B45" s="92" t="s">
        <v>197</v>
      </c>
      <c r="C45" s="126">
        <v>80.3</v>
      </c>
      <c r="D45" s="126">
        <v>75.3</v>
      </c>
      <c r="E45" s="126">
        <f t="shared" si="2"/>
        <v>-5</v>
      </c>
      <c r="F45" s="126">
        <f t="shared" si="0"/>
        <v>-6.226650062266501</v>
      </c>
      <c r="G45" s="126">
        <v>75.3</v>
      </c>
      <c r="H45" s="127">
        <f t="shared" si="1"/>
        <v>100</v>
      </c>
      <c r="I45" s="123">
        <f>G45/G49*100</f>
        <v>0.01135805538024899</v>
      </c>
    </row>
    <row r="46" spans="1:9" ht="51">
      <c r="A46" s="119" t="s">
        <v>174</v>
      </c>
      <c r="B46" s="93" t="s">
        <v>234</v>
      </c>
      <c r="C46" s="88">
        <f>C47+C48</f>
        <v>32595.8</v>
      </c>
      <c r="D46" s="88">
        <f>D47+D48</f>
        <v>47529.4</v>
      </c>
      <c r="E46" s="88">
        <f t="shared" si="2"/>
        <v>14933.600000000002</v>
      </c>
      <c r="F46" s="88">
        <f t="shared" si="0"/>
        <v>45.814491437547176</v>
      </c>
      <c r="G46" s="122">
        <f>SUM(G47:G48)</f>
        <v>47529.4</v>
      </c>
      <c r="H46" s="122">
        <f t="shared" si="1"/>
        <v>100</v>
      </c>
      <c r="I46" s="125">
        <f>G46/G49*100</f>
        <v>7.169210589508718</v>
      </c>
    </row>
    <row r="47" spans="1:9" ht="38.25">
      <c r="A47" s="120" t="s">
        <v>183</v>
      </c>
      <c r="B47" s="95" t="s">
        <v>230</v>
      </c>
      <c r="C47" s="129">
        <v>16187.2</v>
      </c>
      <c r="D47" s="126">
        <v>16187.2</v>
      </c>
      <c r="E47" s="126">
        <f t="shared" si="2"/>
        <v>0</v>
      </c>
      <c r="F47" s="126">
        <f t="shared" si="0"/>
        <v>0</v>
      </c>
      <c r="G47" s="126">
        <v>16187.2</v>
      </c>
      <c r="H47" s="127">
        <f t="shared" si="1"/>
        <v>100</v>
      </c>
      <c r="I47" s="123">
        <f>G47/G49*100</f>
        <v>2.441634980759183</v>
      </c>
    </row>
    <row r="48" spans="1:9" ht="12.75">
      <c r="A48" s="120" t="s">
        <v>184</v>
      </c>
      <c r="B48" s="95" t="s">
        <v>185</v>
      </c>
      <c r="C48" s="126">
        <v>16408.6</v>
      </c>
      <c r="D48" s="126">
        <v>31342.2</v>
      </c>
      <c r="E48" s="126">
        <f t="shared" si="2"/>
        <v>14933.600000000002</v>
      </c>
      <c r="F48" s="126">
        <f t="shared" si="0"/>
        <v>91.01081140377609</v>
      </c>
      <c r="G48" s="126">
        <v>31342.2</v>
      </c>
      <c r="H48" s="127">
        <f t="shared" si="1"/>
        <v>100</v>
      </c>
      <c r="I48" s="123">
        <f>G48/G49*100</f>
        <v>4.727575608749534</v>
      </c>
    </row>
    <row r="49" spans="1:9" s="96" customFormat="1" ht="12.75" customHeight="1">
      <c r="A49" s="151" t="s">
        <v>24</v>
      </c>
      <c r="B49" s="152"/>
      <c r="C49" s="88">
        <f>C42+C37+C34+C31+C25+C23+C19+C15+C4+C12+C44+C46</f>
        <v>671917.5000000001</v>
      </c>
      <c r="D49" s="88">
        <f>D42+D37+D34+D31+D25+D23+D19+D15+D4+D12+D44+D46</f>
        <v>664058.3000000003</v>
      </c>
      <c r="E49" s="88">
        <f t="shared" si="2"/>
        <v>-7859.199999999837</v>
      </c>
      <c r="F49" s="88">
        <f t="shared" si="0"/>
        <v>-1.1696674070849227</v>
      </c>
      <c r="G49" s="122">
        <f>G4+G12+G15+G19+G23+G25+G31+G34+G37+G42+G44+G46</f>
        <v>662965.6</v>
      </c>
      <c r="H49" s="122">
        <f t="shared" si="1"/>
        <v>99.83545119457128</v>
      </c>
      <c r="I49" s="125">
        <f>G49/G49*100</f>
        <v>100</v>
      </c>
    </row>
    <row r="50" spans="3:6" ht="12.75">
      <c r="C50" s="102"/>
      <c r="D50" s="102"/>
      <c r="E50" s="102"/>
      <c r="F50" s="102"/>
    </row>
    <row r="51" spans="3:6" ht="12.75">
      <c r="C51" s="102"/>
      <c r="D51" s="102"/>
      <c r="E51" s="102"/>
      <c r="F51" s="102"/>
    </row>
    <row r="52" spans="3:6" ht="12.75">
      <c r="C52" s="102"/>
      <c r="D52" s="102"/>
      <c r="E52" s="102"/>
      <c r="F52" s="102"/>
    </row>
    <row r="53" spans="3:6" ht="12.75">
      <c r="C53" s="102"/>
      <c r="D53" s="102"/>
      <c r="E53" s="102"/>
      <c r="F53" s="102"/>
    </row>
    <row r="54" spans="3:6" ht="12.75">
      <c r="C54" s="102"/>
      <c r="D54" s="102"/>
      <c r="E54" s="102"/>
      <c r="F54" s="102"/>
    </row>
    <row r="55" spans="3:6" ht="12.75">
      <c r="C55" s="102"/>
      <c r="D55" s="102"/>
      <c r="E55" s="102"/>
      <c r="F55" s="102"/>
    </row>
    <row r="56" spans="3:6" ht="12.75">
      <c r="C56" s="102"/>
      <c r="D56" s="102"/>
      <c r="E56" s="102"/>
      <c r="F56" s="102"/>
    </row>
    <row r="57" spans="3:6" ht="12.75">
      <c r="C57" s="102"/>
      <c r="D57" s="102"/>
      <c r="E57" s="102"/>
      <c r="F57" s="102"/>
    </row>
    <row r="58" spans="3:6" ht="12.75">
      <c r="C58" s="102"/>
      <c r="D58" s="102"/>
      <c r="E58" s="102"/>
      <c r="F58" s="102"/>
    </row>
    <row r="59" spans="3:6" ht="12.75">
      <c r="C59" s="102"/>
      <c r="D59" s="102"/>
      <c r="E59" s="102"/>
      <c r="F59" s="102"/>
    </row>
    <row r="60" spans="3:6" ht="12.75">
      <c r="C60" s="102"/>
      <c r="D60" s="102"/>
      <c r="E60" s="102"/>
      <c r="F60" s="102"/>
    </row>
    <row r="61" spans="3:6" ht="12.75">
      <c r="C61" s="102"/>
      <c r="D61" s="102"/>
      <c r="E61" s="102"/>
      <c r="F61" s="102"/>
    </row>
    <row r="62" spans="3:6" ht="12.75">
      <c r="C62" s="102"/>
      <c r="D62" s="102"/>
      <c r="E62" s="102"/>
      <c r="F62" s="102"/>
    </row>
    <row r="63" spans="3:6" ht="12.75">
      <c r="C63" s="102"/>
      <c r="D63" s="102"/>
      <c r="E63" s="102"/>
      <c r="F63" s="102"/>
    </row>
    <row r="64" spans="3:6" ht="12.75">
      <c r="C64" s="102"/>
      <c r="D64" s="102"/>
      <c r="E64" s="102"/>
      <c r="F64" s="102"/>
    </row>
    <row r="65" spans="3:6" ht="12.75">
      <c r="C65" s="102"/>
      <c r="D65" s="102"/>
      <c r="E65" s="102"/>
      <c r="F65" s="102"/>
    </row>
    <row r="66" spans="3:6" ht="12.75">
      <c r="C66" s="102"/>
      <c r="D66" s="102"/>
      <c r="E66" s="102"/>
      <c r="F66" s="102"/>
    </row>
    <row r="67" spans="3:6" ht="12.75">
      <c r="C67" s="102"/>
      <c r="D67" s="102"/>
      <c r="E67" s="102"/>
      <c r="F67" s="102"/>
    </row>
    <row r="68" spans="3:6" ht="12.75">
      <c r="C68" s="102"/>
      <c r="D68" s="102"/>
      <c r="E68" s="102"/>
      <c r="F68" s="102"/>
    </row>
    <row r="69" spans="3:6" ht="12.75">
      <c r="C69" s="102"/>
      <c r="D69" s="102"/>
      <c r="E69" s="102"/>
      <c r="F69" s="102"/>
    </row>
    <row r="70" spans="3:6" ht="12.75">
      <c r="C70" s="102"/>
      <c r="D70" s="102"/>
      <c r="E70" s="102"/>
      <c r="F70" s="102"/>
    </row>
    <row r="71" spans="3:6" ht="12.75">
      <c r="C71" s="102"/>
      <c r="D71" s="102"/>
      <c r="E71" s="102"/>
      <c r="F71" s="102"/>
    </row>
    <row r="72" spans="3:6" ht="12.75">
      <c r="C72" s="102"/>
      <c r="D72" s="102"/>
      <c r="E72" s="102"/>
      <c r="F72" s="102"/>
    </row>
    <row r="73" spans="3:6" ht="12.75">
      <c r="C73" s="102"/>
      <c r="D73" s="102"/>
      <c r="E73" s="102"/>
      <c r="F73" s="102"/>
    </row>
    <row r="74" spans="3:6" ht="12.75">
      <c r="C74" s="102"/>
      <c r="D74" s="102"/>
      <c r="E74" s="102"/>
      <c r="F74" s="102"/>
    </row>
    <row r="75" spans="3:6" ht="12.75">
      <c r="C75" s="102"/>
      <c r="D75" s="102"/>
      <c r="E75" s="102"/>
      <c r="F75" s="102"/>
    </row>
    <row r="76" spans="3:6" ht="12.75">
      <c r="C76" s="102"/>
      <c r="D76" s="102"/>
      <c r="E76" s="102"/>
      <c r="F76" s="102"/>
    </row>
    <row r="77" spans="3:6" ht="12.75">
      <c r="C77" s="102"/>
      <c r="D77" s="102"/>
      <c r="E77" s="102"/>
      <c r="F77" s="102"/>
    </row>
    <row r="78" spans="3:6" ht="12.75">
      <c r="C78" s="102"/>
      <c r="D78" s="102"/>
      <c r="E78" s="102"/>
      <c r="F78" s="102"/>
    </row>
    <row r="79" spans="3:6" ht="12.75">
      <c r="C79" s="102"/>
      <c r="D79" s="102"/>
      <c r="E79" s="102"/>
      <c r="F79" s="102"/>
    </row>
    <row r="80" spans="3:6" ht="12.75">
      <c r="C80" s="102"/>
      <c r="D80" s="102"/>
      <c r="E80" s="102"/>
      <c r="F80" s="102"/>
    </row>
    <row r="81" spans="3:6" ht="12.75">
      <c r="C81" s="102"/>
      <c r="D81" s="102"/>
      <c r="E81" s="102"/>
      <c r="F81" s="102"/>
    </row>
    <row r="82" spans="3:6" ht="12.75">
      <c r="C82" s="102"/>
      <c r="D82" s="102"/>
      <c r="E82" s="102"/>
      <c r="F82" s="102"/>
    </row>
    <row r="83" spans="3:6" ht="12.75">
      <c r="C83" s="102"/>
      <c r="D83" s="102"/>
      <c r="E83" s="102"/>
      <c r="F83" s="102"/>
    </row>
    <row r="84" spans="3:6" ht="12.75">
      <c r="C84" s="102"/>
      <c r="D84" s="102"/>
      <c r="E84" s="102"/>
      <c r="F84" s="102"/>
    </row>
    <row r="85" spans="3:6" ht="12.75">
      <c r="C85" s="102"/>
      <c r="D85" s="102"/>
      <c r="E85" s="102"/>
      <c r="F85" s="102"/>
    </row>
    <row r="86" spans="3:6" ht="12.75">
      <c r="C86" s="102"/>
      <c r="D86" s="102"/>
      <c r="E86" s="102"/>
      <c r="F86" s="102"/>
    </row>
    <row r="87" spans="3:6" ht="12.75">
      <c r="C87" s="102"/>
      <c r="D87" s="102"/>
      <c r="E87" s="102"/>
      <c r="F87" s="102"/>
    </row>
    <row r="88" spans="3:6" ht="12.75">
      <c r="C88" s="102"/>
      <c r="D88" s="102"/>
      <c r="E88" s="102"/>
      <c r="F88" s="102"/>
    </row>
    <row r="89" spans="3:6" ht="12.75">
      <c r="C89" s="102"/>
      <c r="D89" s="102"/>
      <c r="E89" s="102"/>
      <c r="F89" s="102"/>
    </row>
    <row r="90" spans="3:6" ht="12.75">
      <c r="C90" s="102"/>
      <c r="D90" s="102"/>
      <c r="E90" s="102"/>
      <c r="F90" s="102"/>
    </row>
    <row r="91" spans="3:6" ht="12.75">
      <c r="C91" s="102"/>
      <c r="D91" s="102"/>
      <c r="E91" s="102"/>
      <c r="F91" s="102"/>
    </row>
    <row r="92" spans="3:6" ht="12.75">
      <c r="C92" s="102"/>
      <c r="D92" s="102"/>
      <c r="E92" s="102"/>
      <c r="F92" s="102"/>
    </row>
    <row r="93" spans="3:6" ht="12.75">
      <c r="C93" s="102"/>
      <c r="D93" s="102"/>
      <c r="E93" s="102"/>
      <c r="F93" s="102"/>
    </row>
    <row r="94" spans="3:6" ht="12.75">
      <c r="C94" s="102"/>
      <c r="D94" s="102"/>
      <c r="E94" s="102"/>
      <c r="F94" s="102"/>
    </row>
    <row r="95" spans="3:6" ht="12.75">
      <c r="C95" s="102"/>
      <c r="D95" s="102"/>
      <c r="E95" s="102"/>
      <c r="F95" s="102"/>
    </row>
    <row r="96" spans="3:6" ht="12.75">
      <c r="C96" s="102"/>
      <c r="D96" s="102"/>
      <c r="E96" s="102"/>
      <c r="F96" s="102"/>
    </row>
    <row r="97" spans="3:6" ht="12.75">
      <c r="C97" s="102"/>
      <c r="D97" s="102"/>
      <c r="E97" s="102"/>
      <c r="F97" s="102"/>
    </row>
    <row r="98" spans="3:6" ht="12.75">
      <c r="C98" s="102"/>
      <c r="D98" s="102"/>
      <c r="E98" s="102"/>
      <c r="F98" s="102"/>
    </row>
    <row r="99" spans="3:6" ht="12.75">
      <c r="C99" s="102"/>
      <c r="D99" s="102"/>
      <c r="E99" s="102"/>
      <c r="F99" s="102"/>
    </row>
    <row r="100" spans="3:6" ht="12.75">
      <c r="C100" s="102"/>
      <c r="D100" s="102"/>
      <c r="E100" s="102"/>
      <c r="F100" s="102"/>
    </row>
    <row r="101" spans="3:6" ht="12.75">
      <c r="C101" s="102"/>
      <c r="D101" s="102"/>
      <c r="E101" s="102"/>
      <c r="F101" s="102"/>
    </row>
    <row r="102" spans="3:6" ht="12.75">
      <c r="C102" s="102"/>
      <c r="D102" s="102"/>
      <c r="E102" s="102"/>
      <c r="F102" s="102"/>
    </row>
    <row r="103" spans="3:6" ht="12.75">
      <c r="C103" s="102"/>
      <c r="D103" s="102"/>
      <c r="E103" s="102"/>
      <c r="F103" s="102"/>
    </row>
    <row r="104" spans="3:6" ht="12.75">
      <c r="C104" s="102"/>
      <c r="D104" s="102"/>
      <c r="E104" s="102"/>
      <c r="F104" s="102"/>
    </row>
    <row r="105" spans="3:6" ht="12.75">
      <c r="C105" s="102"/>
      <c r="D105" s="102"/>
      <c r="E105" s="102"/>
      <c r="F105" s="102"/>
    </row>
    <row r="106" spans="3:6" ht="12.75">
      <c r="C106" s="102"/>
      <c r="D106" s="102"/>
      <c r="E106" s="102"/>
      <c r="F106" s="102"/>
    </row>
    <row r="107" spans="3:6" ht="12.75">
      <c r="C107" s="102"/>
      <c r="D107" s="102"/>
      <c r="E107" s="102"/>
      <c r="F107" s="102"/>
    </row>
    <row r="108" spans="3:6" ht="12.75">
      <c r="C108" s="102"/>
      <c r="D108" s="102"/>
      <c r="E108" s="102"/>
      <c r="F108" s="102"/>
    </row>
    <row r="109" spans="3:6" ht="12.75">
      <c r="C109" s="102"/>
      <c r="D109" s="102"/>
      <c r="E109" s="102"/>
      <c r="F109" s="102"/>
    </row>
    <row r="110" spans="3:6" ht="12.75">
      <c r="C110" s="102"/>
      <c r="D110" s="102"/>
      <c r="E110" s="102"/>
      <c r="F110" s="102"/>
    </row>
    <row r="111" spans="3:6" ht="12.75">
      <c r="C111" s="102"/>
      <c r="D111" s="102"/>
      <c r="E111" s="102"/>
      <c r="F111" s="102"/>
    </row>
  </sheetData>
  <sheetProtection/>
  <mergeCells count="3">
    <mergeCell ref="A49:B49"/>
    <mergeCell ref="A1:F1"/>
    <mergeCell ref="A2:I2"/>
  </mergeCells>
  <printOptions horizontalCentered="1"/>
  <pageMargins left="0.35433070866141736" right="0.35433070866141736" top="0.5905511811023623" bottom="0.5905511811023623" header="0.11811023622047245" footer="0.11811023622047245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0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9.125" style="18" customWidth="1"/>
    <col min="2" max="2" width="36.125" style="26" customWidth="1"/>
    <col min="3" max="3" width="15.875" style="18" customWidth="1"/>
    <col min="4" max="4" width="15.00390625" style="18" customWidth="1"/>
    <col min="5" max="5" width="14.625" style="18" customWidth="1"/>
    <col min="6" max="6" width="17.00390625" style="18" customWidth="1"/>
  </cols>
  <sheetData>
    <row r="1" spans="1:6" ht="22.5" customHeight="1">
      <c r="A1" s="153"/>
      <c r="B1" s="154"/>
      <c r="C1" s="154"/>
      <c r="D1" s="154"/>
      <c r="E1" s="154"/>
      <c r="F1" s="154"/>
    </row>
    <row r="2" spans="1:6" ht="20.25" customHeight="1">
      <c r="A2" s="157" t="s">
        <v>258</v>
      </c>
      <c r="B2" s="157"/>
      <c r="C2" s="157"/>
      <c r="D2" s="157"/>
      <c r="E2" s="157"/>
      <c r="F2" s="157"/>
    </row>
    <row r="3" spans="1:6" ht="40.5" customHeight="1">
      <c r="A3" s="88"/>
      <c r="B3" s="88" t="s">
        <v>12</v>
      </c>
      <c r="C3" s="88" t="s">
        <v>227</v>
      </c>
      <c r="D3" s="88" t="s">
        <v>254</v>
      </c>
      <c r="E3" s="88" t="s">
        <v>43</v>
      </c>
      <c r="F3" s="88" t="s">
        <v>67</v>
      </c>
    </row>
    <row r="4" spans="1:6" ht="25.5">
      <c r="A4" s="89" t="s">
        <v>71</v>
      </c>
      <c r="B4" s="89" t="s">
        <v>13</v>
      </c>
      <c r="C4" s="130">
        <f>SUM(C5:C11)</f>
        <v>44837.90000000001</v>
      </c>
      <c r="D4" s="139">
        <f>SUM(D5:D11)</f>
        <v>57463.600000000006</v>
      </c>
      <c r="E4" s="130">
        <f>C4-D4</f>
        <v>-12625.699999999997</v>
      </c>
      <c r="F4" s="130">
        <f>D4/C4*100</f>
        <v>128.1585444456587</v>
      </c>
    </row>
    <row r="5" spans="1:6" ht="51">
      <c r="A5" s="97" t="s">
        <v>3</v>
      </c>
      <c r="B5" s="92" t="s">
        <v>231</v>
      </c>
      <c r="C5" s="131">
        <v>1291.9</v>
      </c>
      <c r="D5" s="140">
        <v>1424.4</v>
      </c>
      <c r="E5" s="131">
        <f aca="true" t="shared" si="0" ref="E5:E15">C5-D5</f>
        <v>-132.5</v>
      </c>
      <c r="F5" s="131">
        <f aca="true" t="shared" si="1" ref="F5:F15">D5/C5*100</f>
        <v>110.25621178109762</v>
      </c>
    </row>
    <row r="6" spans="1:6" ht="66.75" customHeight="1">
      <c r="A6" s="97" t="s">
        <v>4</v>
      </c>
      <c r="B6" s="92" t="s">
        <v>232</v>
      </c>
      <c r="C6" s="131">
        <v>1304</v>
      </c>
      <c r="D6" s="140">
        <v>1596.4</v>
      </c>
      <c r="E6" s="131">
        <f t="shared" si="0"/>
        <v>-292.4000000000001</v>
      </c>
      <c r="F6" s="131">
        <f t="shared" si="1"/>
        <v>122.4233128834356</v>
      </c>
    </row>
    <row r="7" spans="1:6" ht="76.5">
      <c r="A7" s="97" t="s">
        <v>25</v>
      </c>
      <c r="B7" s="92" t="s">
        <v>198</v>
      </c>
      <c r="C7" s="131">
        <v>26506.7</v>
      </c>
      <c r="D7" s="140">
        <v>29252.2</v>
      </c>
      <c r="E7" s="131">
        <f t="shared" si="0"/>
        <v>-2745.5</v>
      </c>
      <c r="F7" s="131">
        <f t="shared" si="1"/>
        <v>110.35775860442831</v>
      </c>
    </row>
    <row r="8" spans="1:6" ht="15">
      <c r="A8" s="103" t="s">
        <v>38</v>
      </c>
      <c r="B8" s="92" t="s">
        <v>37</v>
      </c>
      <c r="C8" s="131">
        <v>23.5</v>
      </c>
      <c r="D8" s="140">
        <v>5.7</v>
      </c>
      <c r="E8" s="131">
        <f t="shared" si="0"/>
        <v>17.8</v>
      </c>
      <c r="F8" s="131">
        <f t="shared" si="1"/>
        <v>24.255319148936174</v>
      </c>
    </row>
    <row r="9" spans="1:6" ht="51">
      <c r="A9" s="97" t="s">
        <v>39</v>
      </c>
      <c r="B9" s="92" t="s">
        <v>233</v>
      </c>
      <c r="C9" s="131">
        <v>6362.6</v>
      </c>
      <c r="D9" s="140">
        <v>6501.1</v>
      </c>
      <c r="E9" s="131">
        <f t="shared" si="0"/>
        <v>-138.5</v>
      </c>
      <c r="F9" s="131">
        <f t="shared" si="1"/>
        <v>102.17678307610096</v>
      </c>
    </row>
    <row r="10" spans="1:6" ht="15">
      <c r="A10" s="118" t="s">
        <v>235</v>
      </c>
      <c r="B10" s="92" t="s">
        <v>41</v>
      </c>
      <c r="C10" s="131">
        <v>0</v>
      </c>
      <c r="D10" s="140">
        <v>0</v>
      </c>
      <c r="E10" s="131">
        <f t="shared" si="0"/>
        <v>0</v>
      </c>
      <c r="F10" s="131" t="e">
        <f t="shared" si="1"/>
        <v>#DIV/0!</v>
      </c>
    </row>
    <row r="11" spans="1:6" ht="15">
      <c r="A11" s="112" t="s">
        <v>102</v>
      </c>
      <c r="B11" s="92" t="s">
        <v>42</v>
      </c>
      <c r="C11" s="131">
        <v>9349.2</v>
      </c>
      <c r="D11" s="140">
        <v>18683.8</v>
      </c>
      <c r="E11" s="131">
        <f t="shared" si="0"/>
        <v>-9334.599999999999</v>
      </c>
      <c r="F11" s="131">
        <f t="shared" si="1"/>
        <v>199.8438369058315</v>
      </c>
    </row>
    <row r="12" spans="1:6" s="42" customFormat="1" ht="38.25">
      <c r="A12" s="93" t="s">
        <v>14</v>
      </c>
      <c r="B12" s="93" t="s">
        <v>79</v>
      </c>
      <c r="C12" s="130">
        <f>C13+C14</f>
        <v>434.1</v>
      </c>
      <c r="D12" s="139">
        <f>SUM(D13:D14)</f>
        <v>915.3000000000001</v>
      </c>
      <c r="E12" s="130">
        <f t="shared" si="0"/>
        <v>-481.20000000000005</v>
      </c>
      <c r="F12" s="130">
        <f t="shared" si="1"/>
        <v>210.8500345542502</v>
      </c>
    </row>
    <row r="13" spans="1:6" ht="51">
      <c r="A13" s="91" t="s">
        <v>6</v>
      </c>
      <c r="B13" s="95" t="s">
        <v>186</v>
      </c>
      <c r="C13" s="131">
        <v>82.3</v>
      </c>
      <c r="D13" s="140">
        <v>95.1</v>
      </c>
      <c r="E13" s="132">
        <f t="shared" si="0"/>
        <v>-12.799999999999997</v>
      </c>
      <c r="F13" s="132">
        <f t="shared" si="1"/>
        <v>115.55285540704739</v>
      </c>
    </row>
    <row r="14" spans="1:6" ht="25.5">
      <c r="A14" s="91" t="s">
        <v>7</v>
      </c>
      <c r="B14" s="92" t="s">
        <v>98</v>
      </c>
      <c r="C14" s="131">
        <v>351.8</v>
      </c>
      <c r="D14" s="140">
        <v>820.2</v>
      </c>
      <c r="E14" s="132">
        <f t="shared" si="0"/>
        <v>-468.40000000000003</v>
      </c>
      <c r="F14" s="132">
        <f t="shared" si="1"/>
        <v>233.14383172256962</v>
      </c>
    </row>
    <row r="15" spans="1:6" ht="15.75">
      <c r="A15" s="89" t="s">
        <v>15</v>
      </c>
      <c r="B15" s="89" t="s">
        <v>44</v>
      </c>
      <c r="C15" s="130">
        <f>SUM(C16:C18)</f>
        <v>15765.2</v>
      </c>
      <c r="D15" s="139">
        <f>SUM(D16:D18)</f>
        <v>23966.3</v>
      </c>
      <c r="E15" s="130">
        <f t="shared" si="0"/>
        <v>-8201.099999999999</v>
      </c>
      <c r="F15" s="130">
        <f t="shared" si="1"/>
        <v>152.02027249892168</v>
      </c>
    </row>
    <row r="16" spans="1:6" ht="15">
      <c r="A16" s="91" t="s">
        <v>47</v>
      </c>
      <c r="B16" s="92" t="s">
        <v>228</v>
      </c>
      <c r="C16" s="131">
        <v>4.5</v>
      </c>
      <c r="D16" s="140">
        <v>2.4</v>
      </c>
      <c r="E16" s="131">
        <f aca="true" t="shared" si="2" ref="E16:E41">C16-D17</f>
        <v>-22722.6</v>
      </c>
      <c r="F16" s="131">
        <f aca="true" t="shared" si="3" ref="F16:F41">D17/C16*100</f>
        <v>505046.6666666666</v>
      </c>
    </row>
    <row r="17" spans="1:6" ht="15">
      <c r="A17" s="113" t="s">
        <v>66</v>
      </c>
      <c r="B17" s="92" t="s">
        <v>77</v>
      </c>
      <c r="C17" s="131">
        <v>15231.2</v>
      </c>
      <c r="D17" s="140">
        <v>22727.1</v>
      </c>
      <c r="E17" s="131">
        <f t="shared" si="2"/>
        <v>13994.400000000001</v>
      </c>
      <c r="F17" s="131">
        <f t="shared" si="3"/>
        <v>8.120174378906455</v>
      </c>
    </row>
    <row r="18" spans="1:6" ht="25.5">
      <c r="A18" s="18" t="s">
        <v>80</v>
      </c>
      <c r="B18" s="92" t="s">
        <v>46</v>
      </c>
      <c r="C18" s="131">
        <v>529.5</v>
      </c>
      <c r="D18" s="140">
        <v>1236.8</v>
      </c>
      <c r="E18" s="131">
        <f t="shared" si="2"/>
        <v>-2635.8</v>
      </c>
      <c r="F18" s="131">
        <f t="shared" si="3"/>
        <v>597.7903682719547</v>
      </c>
    </row>
    <row r="19" spans="1:6" ht="25.5">
      <c r="A19" s="89" t="s">
        <v>16</v>
      </c>
      <c r="B19" s="89" t="s">
        <v>17</v>
      </c>
      <c r="C19" s="130">
        <f>SUM(C20:C22)</f>
        <v>10628.6</v>
      </c>
      <c r="D19" s="139">
        <f>SUM(D20:D22)</f>
        <v>3165.3</v>
      </c>
      <c r="E19" s="130">
        <f t="shared" si="2"/>
        <v>9510.4</v>
      </c>
      <c r="F19" s="130">
        <f t="shared" si="3"/>
        <v>10.520670643358486</v>
      </c>
    </row>
    <row r="20" spans="1:6" ht="15">
      <c r="A20" s="97" t="s">
        <v>18</v>
      </c>
      <c r="B20" s="92" t="s">
        <v>95</v>
      </c>
      <c r="C20" s="131">
        <v>432.2</v>
      </c>
      <c r="D20" s="140">
        <v>1118.2</v>
      </c>
      <c r="E20" s="131">
        <f t="shared" si="2"/>
        <v>185.1</v>
      </c>
      <c r="F20" s="131">
        <f t="shared" si="3"/>
        <v>57.1726052753355</v>
      </c>
    </row>
    <row r="21" spans="1:6" ht="15">
      <c r="A21" s="97" t="s">
        <v>81</v>
      </c>
      <c r="B21" s="92" t="s">
        <v>94</v>
      </c>
      <c r="C21" s="131">
        <v>8976.5</v>
      </c>
      <c r="D21" s="140">
        <v>247.1</v>
      </c>
      <c r="E21" s="131">
        <f t="shared" si="2"/>
        <v>7176.5</v>
      </c>
      <c r="F21" s="131">
        <f t="shared" si="3"/>
        <v>20.052358937224977</v>
      </c>
    </row>
    <row r="22" spans="1:6" ht="15">
      <c r="A22" s="97" t="s">
        <v>188</v>
      </c>
      <c r="B22" s="92" t="s">
        <v>229</v>
      </c>
      <c r="C22" s="131">
        <v>1219.9</v>
      </c>
      <c r="D22" s="140">
        <v>1800</v>
      </c>
      <c r="E22" s="131">
        <f t="shared" si="2"/>
        <v>332.60000000000014</v>
      </c>
      <c r="F22" s="131">
        <f t="shared" si="3"/>
        <v>72.73547012050166</v>
      </c>
    </row>
    <row r="23" spans="1:6" ht="15.75">
      <c r="A23" s="89" t="s">
        <v>26</v>
      </c>
      <c r="B23" s="89" t="s">
        <v>48</v>
      </c>
      <c r="C23" s="130">
        <f>C24</f>
        <v>377.6</v>
      </c>
      <c r="D23" s="139">
        <f>D24</f>
        <v>887.3</v>
      </c>
      <c r="E23" s="130">
        <f t="shared" si="2"/>
        <v>-509.69999999999993</v>
      </c>
      <c r="F23" s="130">
        <f t="shared" si="3"/>
        <v>234.9841101694915</v>
      </c>
    </row>
    <row r="24" spans="1:7" ht="25.5">
      <c r="A24" s="91" t="s">
        <v>19</v>
      </c>
      <c r="B24" s="92" t="s">
        <v>192</v>
      </c>
      <c r="C24" s="131">
        <v>377.6</v>
      </c>
      <c r="D24" s="140">
        <v>887.3</v>
      </c>
      <c r="E24" s="131">
        <f t="shared" si="2"/>
        <v>-447667.7</v>
      </c>
      <c r="F24" s="131">
        <f t="shared" si="3"/>
        <v>118656.06461864406</v>
      </c>
      <c r="G24" s="7"/>
    </row>
    <row r="25" spans="1:7" ht="15.75">
      <c r="A25" s="89" t="s">
        <v>20</v>
      </c>
      <c r="B25" s="89" t="s">
        <v>49</v>
      </c>
      <c r="C25" s="130">
        <f>SUM(C26:C30)</f>
        <v>439742.8</v>
      </c>
      <c r="D25" s="139">
        <f>SUM(D26:D30)</f>
        <v>448045.3</v>
      </c>
      <c r="E25" s="130">
        <f t="shared" si="2"/>
        <v>315002.3</v>
      </c>
      <c r="F25" s="130">
        <f t="shared" si="3"/>
        <v>28.366695259137842</v>
      </c>
      <c r="G25" s="7"/>
    </row>
    <row r="26" spans="1:7" ht="15">
      <c r="A26" s="91" t="s">
        <v>21</v>
      </c>
      <c r="B26" s="98" t="s">
        <v>50</v>
      </c>
      <c r="C26" s="131">
        <v>115336.3</v>
      </c>
      <c r="D26" s="140">
        <v>124740.5</v>
      </c>
      <c r="E26" s="131">
        <f t="shared" si="2"/>
        <v>-134313.09999999998</v>
      </c>
      <c r="F26" s="131">
        <f t="shared" si="3"/>
        <v>216.4534496077991</v>
      </c>
      <c r="G26" s="7"/>
    </row>
    <row r="27" spans="1:7" ht="15">
      <c r="A27" s="91" t="s">
        <v>56</v>
      </c>
      <c r="B27" s="98" t="s">
        <v>52</v>
      </c>
      <c r="C27" s="131">
        <v>245410.8</v>
      </c>
      <c r="D27" s="140">
        <v>249649.4</v>
      </c>
      <c r="E27" s="131">
        <f t="shared" si="2"/>
        <v>222513.19999999998</v>
      </c>
      <c r="F27" s="131">
        <f t="shared" si="3"/>
        <v>9.33031472127551</v>
      </c>
      <c r="G27" s="7"/>
    </row>
    <row r="28" spans="1:7" ht="15">
      <c r="A28" s="91" t="s">
        <v>58</v>
      </c>
      <c r="B28" s="98" t="s">
        <v>193</v>
      </c>
      <c r="C28" s="131">
        <v>21220.8</v>
      </c>
      <c r="D28" s="140">
        <v>22897.6</v>
      </c>
      <c r="E28" s="131">
        <f t="shared" si="2"/>
        <v>15482.699999999999</v>
      </c>
      <c r="F28" s="131">
        <f t="shared" si="3"/>
        <v>27.039979642614796</v>
      </c>
      <c r="G28" s="7"/>
    </row>
    <row r="29" spans="1:7" ht="25.5">
      <c r="A29" s="91" t="s">
        <v>82</v>
      </c>
      <c r="B29" s="98" t="s">
        <v>53</v>
      </c>
      <c r="C29" s="131">
        <v>5510.9</v>
      </c>
      <c r="D29" s="140">
        <v>5738.1</v>
      </c>
      <c r="E29" s="131">
        <f t="shared" si="2"/>
        <v>-39508.799999999996</v>
      </c>
      <c r="F29" s="131">
        <f t="shared" si="3"/>
        <v>816.9210110871182</v>
      </c>
      <c r="G29" s="7"/>
    </row>
    <row r="30" spans="1:7" ht="15">
      <c r="A30" s="112" t="s">
        <v>226</v>
      </c>
      <c r="B30" s="98" t="s">
        <v>54</v>
      </c>
      <c r="C30" s="131">
        <v>52264</v>
      </c>
      <c r="D30" s="140">
        <v>45019.7</v>
      </c>
      <c r="E30" s="131">
        <f t="shared" si="2"/>
        <v>20351.6</v>
      </c>
      <c r="F30" s="131">
        <f t="shared" si="3"/>
        <v>61.060003061380684</v>
      </c>
      <c r="G30" s="7"/>
    </row>
    <row r="31" spans="1:7" ht="15.75">
      <c r="A31" s="89" t="s">
        <v>22</v>
      </c>
      <c r="B31" s="89" t="s">
        <v>194</v>
      </c>
      <c r="C31" s="130">
        <f>C32+C33</f>
        <v>22211</v>
      </c>
      <c r="D31" s="139">
        <f>SUM(D32:D33)</f>
        <v>31912.4</v>
      </c>
      <c r="E31" s="130">
        <f t="shared" si="2"/>
        <v>-6660.5</v>
      </c>
      <c r="F31" s="130">
        <f t="shared" si="3"/>
        <v>129.98739363378508</v>
      </c>
      <c r="G31" s="7"/>
    </row>
    <row r="32" spans="1:7" ht="15">
      <c r="A32" s="91" t="s">
        <v>23</v>
      </c>
      <c r="B32" s="92" t="s">
        <v>55</v>
      </c>
      <c r="C32" s="131">
        <v>20246.4</v>
      </c>
      <c r="D32" s="140">
        <v>28871.5</v>
      </c>
      <c r="E32" s="131">
        <f t="shared" si="2"/>
        <v>17205.5</v>
      </c>
      <c r="F32" s="131">
        <f t="shared" si="3"/>
        <v>15.019460249723407</v>
      </c>
      <c r="G32" s="7"/>
    </row>
    <row r="33" spans="1:7" ht="25.5">
      <c r="A33" s="97" t="s">
        <v>59</v>
      </c>
      <c r="B33" s="95" t="s">
        <v>195</v>
      </c>
      <c r="C33" s="131">
        <v>1964.6</v>
      </c>
      <c r="D33" s="140">
        <v>3040.9</v>
      </c>
      <c r="E33" s="131">
        <f t="shared" si="2"/>
        <v>1850.6</v>
      </c>
      <c r="F33" s="131">
        <f t="shared" si="3"/>
        <v>5.8027079303675055</v>
      </c>
      <c r="G33" s="7"/>
    </row>
    <row r="34" spans="1:7" ht="15.75">
      <c r="A34" s="89" t="s">
        <v>76</v>
      </c>
      <c r="B34" s="89" t="s">
        <v>166</v>
      </c>
      <c r="C34" s="130">
        <f>SUM(C35:C36)</f>
        <v>213.5</v>
      </c>
      <c r="D34" s="139">
        <f>SUM(D35:D36)</f>
        <v>114</v>
      </c>
      <c r="E34" s="130">
        <f t="shared" si="2"/>
        <v>213.5</v>
      </c>
      <c r="F34" s="130">
        <f t="shared" si="3"/>
        <v>0</v>
      </c>
      <c r="G34" s="7"/>
    </row>
    <row r="35" spans="1:7" ht="25.5">
      <c r="A35" s="97" t="s">
        <v>27</v>
      </c>
      <c r="B35" s="98" t="s">
        <v>179</v>
      </c>
      <c r="C35" s="131">
        <v>108.2</v>
      </c>
      <c r="D35" s="140">
        <v>0</v>
      </c>
      <c r="E35" s="131">
        <f t="shared" si="2"/>
        <v>-5.799999999999997</v>
      </c>
      <c r="F35" s="131">
        <f t="shared" si="3"/>
        <v>105.36044362292051</v>
      </c>
      <c r="G35" s="7"/>
    </row>
    <row r="36" spans="1:7" ht="25.5">
      <c r="A36" s="118" t="s">
        <v>60</v>
      </c>
      <c r="B36" s="98" t="s">
        <v>135</v>
      </c>
      <c r="C36" s="131">
        <v>105.3</v>
      </c>
      <c r="D36" s="140">
        <v>114</v>
      </c>
      <c r="E36" s="131">
        <f t="shared" si="2"/>
        <v>-39747.899999999994</v>
      </c>
      <c r="F36" s="131">
        <f t="shared" si="3"/>
        <v>37847.29344729345</v>
      </c>
      <c r="G36" s="7"/>
    </row>
    <row r="37" spans="1:6" ht="15.75">
      <c r="A37" s="89" t="s">
        <v>83</v>
      </c>
      <c r="B37" s="89" t="s">
        <v>167</v>
      </c>
      <c r="C37" s="130">
        <f>SUM(C38:C40)</f>
        <v>14918</v>
      </c>
      <c r="D37" s="139">
        <f>SUM(D38:D41)</f>
        <v>39853.2</v>
      </c>
      <c r="E37" s="130">
        <f t="shared" si="2"/>
        <v>13251</v>
      </c>
      <c r="F37" s="130">
        <f t="shared" si="3"/>
        <v>11.174420163560798</v>
      </c>
    </row>
    <row r="38" spans="1:6" ht="15">
      <c r="A38" s="97" t="s">
        <v>65</v>
      </c>
      <c r="B38" s="98" t="s">
        <v>97</v>
      </c>
      <c r="C38" s="131">
        <v>1820.6</v>
      </c>
      <c r="D38" s="140">
        <v>1667</v>
      </c>
      <c r="E38" s="131">
        <f t="shared" si="2"/>
        <v>-30374.100000000002</v>
      </c>
      <c r="F38" s="131">
        <f t="shared" si="3"/>
        <v>1768.3565857409646</v>
      </c>
    </row>
    <row r="39" spans="1:6" ht="15">
      <c r="A39" s="97" t="s">
        <v>84</v>
      </c>
      <c r="B39" s="121" t="s">
        <v>63</v>
      </c>
      <c r="C39" s="131">
        <v>6217.2</v>
      </c>
      <c r="D39" s="140">
        <v>32194.7</v>
      </c>
      <c r="E39" s="131">
        <f t="shared" si="2"/>
        <v>607.1999999999998</v>
      </c>
      <c r="F39" s="131">
        <f t="shared" si="3"/>
        <v>90.23354564755839</v>
      </c>
    </row>
    <row r="40" spans="1:6" ht="15">
      <c r="A40" s="104" t="s">
        <v>85</v>
      </c>
      <c r="B40" s="98" t="s">
        <v>78</v>
      </c>
      <c r="C40" s="131">
        <v>6880.2</v>
      </c>
      <c r="D40" s="140">
        <v>5610</v>
      </c>
      <c r="E40" s="131">
        <f t="shared" si="2"/>
        <v>6498.7</v>
      </c>
      <c r="F40" s="131">
        <f t="shared" si="3"/>
        <v>5.544896950670039</v>
      </c>
    </row>
    <row r="41" spans="1:6" ht="25.5">
      <c r="A41" s="104" t="s">
        <v>86</v>
      </c>
      <c r="B41" s="95" t="s">
        <v>64</v>
      </c>
      <c r="C41" s="131">
        <v>0</v>
      </c>
      <c r="D41" s="140">
        <v>381.5</v>
      </c>
      <c r="E41" s="131">
        <f t="shared" si="2"/>
        <v>-9038.2</v>
      </c>
      <c r="F41" s="131" t="e">
        <f t="shared" si="3"/>
        <v>#DIV/0!</v>
      </c>
    </row>
    <row r="42" spans="1:6" ht="15.75" customHeight="1">
      <c r="A42" s="105" t="s">
        <v>88</v>
      </c>
      <c r="B42" s="105" t="s">
        <v>169</v>
      </c>
      <c r="C42" s="130">
        <f>C43</f>
        <v>5811.5</v>
      </c>
      <c r="D42" s="139">
        <f>D43</f>
        <v>9038.2</v>
      </c>
      <c r="E42" s="130">
        <f aca="true" t="shared" si="4" ref="E42:E49">C42-D42</f>
        <v>-3226.7000000000007</v>
      </c>
      <c r="F42" s="130">
        <f aca="true" t="shared" si="5" ref="F42:F49">D42/C42*100</f>
        <v>155.5226705669793</v>
      </c>
    </row>
    <row r="43" spans="1:6" ht="14.25" customHeight="1">
      <c r="A43" s="106" t="s">
        <v>89</v>
      </c>
      <c r="B43" s="107" t="s">
        <v>196</v>
      </c>
      <c r="C43" s="131">
        <v>5811.5</v>
      </c>
      <c r="D43" s="140">
        <v>9038.2</v>
      </c>
      <c r="E43" s="131">
        <f t="shared" si="4"/>
        <v>-3226.7000000000007</v>
      </c>
      <c r="F43" s="131">
        <f t="shared" si="5"/>
        <v>155.5226705669793</v>
      </c>
    </row>
    <row r="44" spans="1:6" s="42" customFormat="1" ht="25.5">
      <c r="A44" s="93" t="s">
        <v>139</v>
      </c>
      <c r="B44" s="93" t="s">
        <v>189</v>
      </c>
      <c r="C44" s="130">
        <f>C45</f>
        <v>105.4</v>
      </c>
      <c r="D44" s="139">
        <f>D45</f>
        <v>75.3</v>
      </c>
      <c r="E44" s="130">
        <f t="shared" si="4"/>
        <v>30.10000000000001</v>
      </c>
      <c r="F44" s="130">
        <f t="shared" si="5"/>
        <v>71.44212523719165</v>
      </c>
    </row>
    <row r="45" spans="1:6" ht="38.25">
      <c r="A45" s="91" t="s">
        <v>140</v>
      </c>
      <c r="B45" s="92" t="s">
        <v>197</v>
      </c>
      <c r="C45" s="131">
        <v>105.4</v>
      </c>
      <c r="D45" s="140">
        <v>75.3</v>
      </c>
      <c r="E45" s="131">
        <f t="shared" si="4"/>
        <v>30.10000000000001</v>
      </c>
      <c r="F45" s="131">
        <f t="shared" si="5"/>
        <v>71.44212523719165</v>
      </c>
    </row>
    <row r="46" spans="1:6" ht="38.25">
      <c r="A46" s="99" t="s">
        <v>174</v>
      </c>
      <c r="B46" s="93" t="s">
        <v>259</v>
      </c>
      <c r="C46" s="130">
        <f>C47+C48</f>
        <v>35706</v>
      </c>
      <c r="D46" s="139">
        <f>SUM(D47:D48)</f>
        <v>47529.4</v>
      </c>
      <c r="E46" s="130">
        <f t="shared" si="4"/>
        <v>-11823.400000000001</v>
      </c>
      <c r="F46" s="130">
        <f t="shared" si="5"/>
        <v>133.113202262925</v>
      </c>
    </row>
    <row r="47" spans="1:6" ht="51">
      <c r="A47" s="100" t="s">
        <v>260</v>
      </c>
      <c r="B47" s="95" t="s">
        <v>230</v>
      </c>
      <c r="C47" s="131">
        <v>17107</v>
      </c>
      <c r="D47" s="140">
        <v>16187.2</v>
      </c>
      <c r="E47" s="131">
        <f t="shared" si="4"/>
        <v>919.7999999999993</v>
      </c>
      <c r="F47" s="131">
        <f t="shared" si="5"/>
        <v>94.6232536388613</v>
      </c>
    </row>
    <row r="48" spans="1:6" ht="15">
      <c r="A48" s="100" t="s">
        <v>261</v>
      </c>
      <c r="B48" s="95" t="s">
        <v>185</v>
      </c>
      <c r="C48" s="131">
        <v>18599</v>
      </c>
      <c r="D48" s="140">
        <v>31342.2</v>
      </c>
      <c r="E48" s="131">
        <f t="shared" si="4"/>
        <v>-12743.2</v>
      </c>
      <c r="F48" s="131">
        <f t="shared" si="5"/>
        <v>168.51551158664444</v>
      </c>
    </row>
    <row r="49" spans="1:6" ht="20.25" customHeight="1">
      <c r="A49" s="155" t="s">
        <v>24</v>
      </c>
      <c r="B49" s="156"/>
      <c r="C49" s="141">
        <f>C37+C34+C31+C25+C23+C19+C15+C4+C12+C44+C42+C46</f>
        <v>590751.6</v>
      </c>
      <c r="D49" s="141">
        <f>D37+D34+D31+D25+D23+D19+D15+D4+D12+D44+D42+D46</f>
        <v>662965.6000000001</v>
      </c>
      <c r="E49" s="141">
        <f t="shared" si="4"/>
        <v>-72214.00000000012</v>
      </c>
      <c r="F49" s="141">
        <f t="shared" si="5"/>
        <v>112.22408877098262</v>
      </c>
    </row>
    <row r="50" spans="4:6" ht="12.75">
      <c r="D50" s="81"/>
      <c r="E50" s="81"/>
      <c r="F50" s="81"/>
    </row>
  </sheetData>
  <sheetProtection/>
  <mergeCells count="3">
    <mergeCell ref="A49:B49"/>
    <mergeCell ref="A2:F2"/>
    <mergeCell ref="A1:F1"/>
  </mergeCells>
  <printOptions horizontalCentered="1"/>
  <pageMargins left="0.35433070866141736" right="0.35433070866141736" top="0.5905511811023623" bottom="0.5905511811023623" header="0.11811023622047245" footer="0.11811023622047245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D3" sqref="D3:G3"/>
    </sheetView>
  </sheetViews>
  <sheetFormatPr defaultColWidth="9.00390625" defaultRowHeight="12.75"/>
  <cols>
    <col min="1" max="1" width="6.00390625" style="0" customWidth="1"/>
    <col min="2" max="2" width="58.125" style="1" customWidth="1"/>
    <col min="3" max="3" width="18.25390625" style="0" customWidth="1"/>
    <col min="4" max="5" width="13.375" style="0" customWidth="1"/>
    <col min="6" max="6" width="13.00390625" style="0" customWidth="1"/>
    <col min="7" max="7" width="15.375" style="0" customWidth="1"/>
  </cols>
  <sheetData>
    <row r="1" spans="1:7" ht="12.75">
      <c r="A1" s="143" t="s">
        <v>73</v>
      </c>
      <c r="B1" s="143"/>
      <c r="C1" s="143"/>
      <c r="D1" s="143"/>
      <c r="E1" s="143"/>
      <c r="F1" s="143"/>
      <c r="G1" s="143"/>
    </row>
    <row r="2" spans="1:7" s="35" customFormat="1" ht="25.5" customHeight="1">
      <c r="A2" s="158" t="s">
        <v>175</v>
      </c>
      <c r="B2" s="158"/>
      <c r="C2" s="158"/>
      <c r="D2" s="158"/>
      <c r="E2" s="158"/>
      <c r="F2" s="158"/>
      <c r="G2" s="158"/>
    </row>
    <row r="3" spans="1:7" s="5" customFormat="1" ht="73.5" customHeight="1">
      <c r="A3" s="13"/>
      <c r="B3" s="13" t="s">
        <v>0</v>
      </c>
      <c r="C3" s="13" t="s">
        <v>162</v>
      </c>
      <c r="D3" s="39" t="s">
        <v>171</v>
      </c>
      <c r="E3" s="13" t="s">
        <v>32</v>
      </c>
      <c r="F3" s="13" t="s">
        <v>11</v>
      </c>
      <c r="G3" s="39" t="s">
        <v>33</v>
      </c>
    </row>
    <row r="4" spans="1:7" s="5" customFormat="1" ht="12.75">
      <c r="A4" s="16">
        <v>1</v>
      </c>
      <c r="B4" s="4" t="s">
        <v>2</v>
      </c>
      <c r="C4" s="75">
        <f>C5+C14</f>
        <v>269585.6</v>
      </c>
      <c r="D4" s="76">
        <f>D5+D14</f>
        <v>269265.3</v>
      </c>
      <c r="E4" s="75">
        <f>D4-C4</f>
        <v>-320.29999999998836</v>
      </c>
      <c r="F4" s="76">
        <f>D4/C4*100</f>
        <v>99.88118801597712</v>
      </c>
      <c r="G4" s="8">
        <f>D4/D45*100</f>
        <v>31.439082051983796</v>
      </c>
    </row>
    <row r="5" spans="1:7" ht="12.75">
      <c r="A5" s="34" t="s">
        <v>3</v>
      </c>
      <c r="B5" s="2" t="s">
        <v>1</v>
      </c>
      <c r="C5" s="77">
        <f>SUM(C6:C13)</f>
        <v>227494</v>
      </c>
      <c r="D5" s="77">
        <f>SUM(D6:D13)</f>
        <v>221991</v>
      </c>
      <c r="E5" s="77">
        <f>D5-C5</f>
        <v>-5503</v>
      </c>
      <c r="F5" s="78">
        <f>D5/C5*100</f>
        <v>97.58103510422252</v>
      </c>
      <c r="G5" s="45">
        <f>D5/D45*100</f>
        <v>25.919393489625048</v>
      </c>
    </row>
    <row r="6" spans="1:7" s="10" customFormat="1" ht="12.75">
      <c r="A6" s="9"/>
      <c r="B6" s="2" t="s">
        <v>99</v>
      </c>
      <c r="C6" s="6">
        <v>189863</v>
      </c>
      <c r="D6" s="6">
        <v>184123.6</v>
      </c>
      <c r="E6" s="6">
        <f aca="true" t="shared" si="0" ref="E6:E45">D6-C6</f>
        <v>-5739.399999999994</v>
      </c>
      <c r="F6" s="80">
        <f aca="true" t="shared" si="1" ref="F6:F45">D6/C6*100</f>
        <v>96.97708347598005</v>
      </c>
      <c r="G6" s="80">
        <f>D6/D45*100</f>
        <v>21.4980428896952</v>
      </c>
    </row>
    <row r="7" spans="1:7" s="10" customFormat="1" ht="25.5">
      <c r="A7" s="9"/>
      <c r="B7" s="2" t="s">
        <v>106</v>
      </c>
      <c r="C7" s="6">
        <v>10073</v>
      </c>
      <c r="D7" s="6">
        <v>10109.4</v>
      </c>
      <c r="E7" s="6">
        <f t="shared" si="0"/>
        <v>36.399999999999636</v>
      </c>
      <c r="F7" s="80">
        <f t="shared" si="1"/>
        <v>100.361362056984</v>
      </c>
      <c r="G7" s="80">
        <f>D7/D45*100</f>
        <v>1.180360990058225</v>
      </c>
    </row>
    <row r="8" spans="1:7" s="10" customFormat="1" ht="25.5">
      <c r="A8" s="9"/>
      <c r="B8" s="2" t="s">
        <v>107</v>
      </c>
      <c r="C8" s="77">
        <v>10339</v>
      </c>
      <c r="D8" s="77">
        <v>10444.3</v>
      </c>
      <c r="E8" s="77">
        <f t="shared" si="0"/>
        <v>105.29999999999927</v>
      </c>
      <c r="F8" s="78">
        <f t="shared" si="1"/>
        <v>101.01847374020699</v>
      </c>
      <c r="G8" s="45">
        <f>D8/D45*100</f>
        <v>1.2194634981764616</v>
      </c>
    </row>
    <row r="9" spans="1:7" s="10" customFormat="1" ht="12.75">
      <c r="A9" s="9"/>
      <c r="B9" s="2" t="s">
        <v>108</v>
      </c>
      <c r="C9" s="6">
        <v>681</v>
      </c>
      <c r="D9" s="6">
        <v>709.5</v>
      </c>
      <c r="E9" s="6">
        <f t="shared" si="0"/>
        <v>28.5</v>
      </c>
      <c r="F9" s="80"/>
      <c r="G9" s="80">
        <f>D9/D45*100</f>
        <v>0.08284033893666398</v>
      </c>
    </row>
    <row r="10" spans="1:7" s="10" customFormat="1" ht="12.75">
      <c r="A10" s="9"/>
      <c r="B10" s="2" t="s">
        <v>123</v>
      </c>
      <c r="C10" s="77">
        <v>14875</v>
      </c>
      <c r="D10" s="77">
        <v>14900.3</v>
      </c>
      <c r="E10" s="77">
        <f t="shared" si="0"/>
        <v>25.299999999999272</v>
      </c>
      <c r="F10" s="78">
        <f t="shared" si="1"/>
        <v>100.17008403361345</v>
      </c>
      <c r="G10" s="45">
        <f>D10/D45*100</f>
        <v>1.7397405246764963</v>
      </c>
    </row>
    <row r="11" spans="1:7" s="10" customFormat="1" ht="25.5">
      <c r="A11" s="9"/>
      <c r="B11" s="2" t="s">
        <v>163</v>
      </c>
      <c r="C11" s="77">
        <v>35</v>
      </c>
      <c r="D11" s="77">
        <v>35.7</v>
      </c>
      <c r="E11" s="77">
        <f t="shared" si="0"/>
        <v>0.7000000000000028</v>
      </c>
      <c r="F11" s="78">
        <f t="shared" si="1"/>
        <v>102</v>
      </c>
      <c r="G11" s="45">
        <f>D11/D45*100</f>
        <v>0.004168287667426222</v>
      </c>
    </row>
    <row r="12" spans="1:7" s="10" customFormat="1" ht="25.5">
      <c r="A12" s="9"/>
      <c r="B12" s="2" t="s">
        <v>124</v>
      </c>
      <c r="C12" s="77"/>
      <c r="D12" s="77">
        <v>13.7</v>
      </c>
      <c r="E12" s="77">
        <f t="shared" si="0"/>
        <v>13.7</v>
      </c>
      <c r="F12" s="78"/>
      <c r="G12" s="45">
        <f>D12/D45*100</f>
        <v>0.0015995949872195862</v>
      </c>
    </row>
    <row r="13" spans="1:7" s="10" customFormat="1" ht="12.75">
      <c r="A13" s="6"/>
      <c r="B13" s="2" t="s">
        <v>125</v>
      </c>
      <c r="C13" s="79">
        <v>1628</v>
      </c>
      <c r="D13" s="79">
        <v>1654.5</v>
      </c>
      <c r="E13" s="77">
        <f t="shared" si="0"/>
        <v>26.5</v>
      </c>
      <c r="F13" s="78">
        <f t="shared" si="1"/>
        <v>101.62776412776412</v>
      </c>
      <c r="G13" s="45">
        <f>D13/D45*100</f>
        <v>0.19317736542735806</v>
      </c>
    </row>
    <row r="14" spans="1:7" s="10" customFormat="1" ht="12.75">
      <c r="A14" s="31" t="s">
        <v>4</v>
      </c>
      <c r="B14" s="2" t="s">
        <v>5</v>
      </c>
      <c r="C14" s="77">
        <f>SUM(C15:C20)</f>
        <v>42091.6</v>
      </c>
      <c r="D14" s="77">
        <f>SUM(D15:D18)+D19+D20</f>
        <v>47274.3</v>
      </c>
      <c r="E14" s="77">
        <f t="shared" si="0"/>
        <v>5182.700000000004</v>
      </c>
      <c r="F14" s="78">
        <f t="shared" si="1"/>
        <v>112.31290803865856</v>
      </c>
      <c r="G14" s="45">
        <f>D14/D45*100</f>
        <v>5.519688562358751</v>
      </c>
    </row>
    <row r="15" spans="1:7" ht="25.5">
      <c r="A15" s="31"/>
      <c r="B15" s="2" t="s">
        <v>178</v>
      </c>
      <c r="C15" s="77">
        <v>25012</v>
      </c>
      <c r="D15" s="77">
        <v>25602.1</v>
      </c>
      <c r="E15" s="77">
        <f t="shared" si="0"/>
        <v>590.0999999999985</v>
      </c>
      <c r="F15" s="78">
        <f t="shared" si="1"/>
        <v>102.35926755157523</v>
      </c>
      <c r="G15" s="45">
        <f>D15/D45*100</f>
        <v>2.9892694030871945</v>
      </c>
    </row>
    <row r="16" spans="1:7" ht="25.5">
      <c r="A16" s="31"/>
      <c r="B16" s="2" t="s">
        <v>69</v>
      </c>
      <c r="C16" s="77">
        <v>8965.5</v>
      </c>
      <c r="D16" s="77">
        <v>9735.6</v>
      </c>
      <c r="E16" s="77">
        <f t="shared" si="0"/>
        <v>770.1000000000004</v>
      </c>
      <c r="F16" s="78">
        <f t="shared" si="1"/>
        <v>108.58959344152585</v>
      </c>
      <c r="G16" s="45">
        <f>D16/D45*100</f>
        <v>1.1367165662463505</v>
      </c>
    </row>
    <row r="17" spans="1:7" ht="12.75">
      <c r="A17" s="31"/>
      <c r="B17" s="2" t="s">
        <v>110</v>
      </c>
      <c r="C17" s="77">
        <v>830</v>
      </c>
      <c r="D17" s="77">
        <v>3340.3</v>
      </c>
      <c r="E17" s="77">
        <f t="shared" si="0"/>
        <v>2510.3</v>
      </c>
      <c r="F17" s="78">
        <f t="shared" si="1"/>
        <v>402.4457831325301</v>
      </c>
      <c r="G17" s="45">
        <f>D17/D45*100</f>
        <v>0.390009279986101</v>
      </c>
    </row>
    <row r="18" spans="1:7" ht="25.5">
      <c r="A18" s="31"/>
      <c r="B18" s="2" t="s">
        <v>112</v>
      </c>
      <c r="C18" s="77">
        <v>1374.1</v>
      </c>
      <c r="D18" s="77">
        <v>1376.6</v>
      </c>
      <c r="E18" s="77">
        <f t="shared" si="0"/>
        <v>2.5</v>
      </c>
      <c r="F18" s="78">
        <f t="shared" si="1"/>
        <v>100.18193726802997</v>
      </c>
      <c r="G18" s="45">
        <f>D18/D45*100</f>
        <v>0.1607301065260206</v>
      </c>
    </row>
    <row r="19" spans="1:7" ht="12.75">
      <c r="A19" s="31"/>
      <c r="B19" s="2" t="s">
        <v>113</v>
      </c>
      <c r="C19" s="77">
        <v>5900</v>
      </c>
      <c r="D19" s="77">
        <v>7184.9</v>
      </c>
      <c r="E19" s="77">
        <f t="shared" si="0"/>
        <v>1284.8999999999996</v>
      </c>
      <c r="F19" s="78">
        <f t="shared" si="1"/>
        <v>121.77796610169491</v>
      </c>
      <c r="G19" s="45">
        <f>D19/D45*100</f>
        <v>0.8389000017280296</v>
      </c>
    </row>
    <row r="20" spans="1:7" ht="12.75">
      <c r="A20" s="31"/>
      <c r="B20" s="2" t="s">
        <v>105</v>
      </c>
      <c r="C20" s="77">
        <v>10</v>
      </c>
      <c r="D20" s="77">
        <v>34.8</v>
      </c>
      <c r="E20" s="77">
        <f t="shared" si="0"/>
        <v>24.799999999999997</v>
      </c>
      <c r="F20" s="78">
        <f t="shared" si="1"/>
        <v>347.99999999999994</v>
      </c>
      <c r="G20" s="45">
        <f>D20/D45*100</f>
        <v>0.004063204785054131</v>
      </c>
    </row>
    <row r="21" spans="1:7" ht="12.75">
      <c r="A21" s="16">
        <v>2</v>
      </c>
      <c r="B21" s="4" t="s">
        <v>10</v>
      </c>
      <c r="C21" s="75">
        <f>C22+C23+C35+C43+C44</f>
        <v>593790.2</v>
      </c>
      <c r="D21" s="75">
        <f>D22+D23+D35+D43+D44</f>
        <v>587201.5</v>
      </c>
      <c r="E21" s="75">
        <f t="shared" si="0"/>
        <v>-6588.699999999953</v>
      </c>
      <c r="F21" s="76">
        <f t="shared" si="1"/>
        <v>98.89039933633126</v>
      </c>
      <c r="G21" s="46">
        <f>D21/D45*100</f>
        <v>68.5609179480162</v>
      </c>
    </row>
    <row r="22" spans="1:7" ht="25.5">
      <c r="A22" s="31" t="s">
        <v>6</v>
      </c>
      <c r="B22" s="2" t="s">
        <v>100</v>
      </c>
      <c r="C22" s="77">
        <v>153219.6</v>
      </c>
      <c r="D22" s="77">
        <v>153219.6</v>
      </c>
      <c r="E22" s="77">
        <f t="shared" si="0"/>
        <v>0</v>
      </c>
      <c r="F22" s="78">
        <f t="shared" si="1"/>
        <v>100</v>
      </c>
      <c r="G22" s="45">
        <f>D22/D45*100</f>
        <v>17.889730226554022</v>
      </c>
    </row>
    <row r="23" spans="1:7" ht="12.75">
      <c r="A23" s="31" t="s">
        <v>7</v>
      </c>
      <c r="B23" s="2" t="s">
        <v>91</v>
      </c>
      <c r="C23" s="77">
        <f>SUM(C24:C34)</f>
        <v>375102.6</v>
      </c>
      <c r="D23" s="77">
        <f>SUM(D24:D34)</f>
        <v>373096.9</v>
      </c>
      <c r="E23" s="77">
        <f t="shared" si="0"/>
        <v>-2005.6999999999534</v>
      </c>
      <c r="F23" s="78">
        <f t="shared" si="1"/>
        <v>99.46529296251214</v>
      </c>
      <c r="G23" s="45">
        <f>D23/D45*100</f>
        <v>43.56233072899031</v>
      </c>
    </row>
    <row r="24" spans="1:8" ht="25.5">
      <c r="A24" s="31"/>
      <c r="B24" s="2" t="s">
        <v>111</v>
      </c>
      <c r="C24" s="77">
        <v>17051</v>
      </c>
      <c r="D24" s="77">
        <v>16127</v>
      </c>
      <c r="E24" s="77">
        <f t="shared" si="0"/>
        <v>-924</v>
      </c>
      <c r="F24" s="78">
        <f t="shared" si="1"/>
        <v>94.58096299337282</v>
      </c>
      <c r="G24" s="45">
        <f>D24/D45*100</f>
        <v>1.8829684933496547</v>
      </c>
      <c r="H24" s="14"/>
    </row>
    <row r="25" spans="1:8" ht="25.5">
      <c r="A25" s="31"/>
      <c r="B25" s="2" t="s">
        <v>114</v>
      </c>
      <c r="C25" s="77">
        <v>644</v>
      </c>
      <c r="D25" s="77">
        <v>203.5</v>
      </c>
      <c r="E25" s="77">
        <f t="shared" si="0"/>
        <v>-440.5</v>
      </c>
      <c r="F25" s="78">
        <f t="shared" si="1"/>
        <v>31.599378881987576</v>
      </c>
      <c r="G25" s="45">
        <f>D25/D45*100</f>
        <v>0.02376040729191137</v>
      </c>
      <c r="H25" s="14"/>
    </row>
    <row r="26" spans="1:8" s="5" customFormat="1" ht="28.5" customHeight="1">
      <c r="A26" s="31"/>
      <c r="B26" s="2" t="s">
        <v>154</v>
      </c>
      <c r="C26" s="77">
        <v>5.2</v>
      </c>
      <c r="D26" s="77">
        <v>0</v>
      </c>
      <c r="E26" s="77">
        <f t="shared" si="0"/>
        <v>-5.2</v>
      </c>
      <c r="F26" s="78">
        <f t="shared" si="1"/>
        <v>0</v>
      </c>
      <c r="G26" s="45">
        <f>D26/D45*100</f>
        <v>0</v>
      </c>
      <c r="H26" s="51"/>
    </row>
    <row r="27" spans="1:8" ht="24.75" customHeight="1">
      <c r="A27" s="31"/>
      <c r="B27" s="2" t="s">
        <v>115</v>
      </c>
      <c r="C27" s="77">
        <v>382.9</v>
      </c>
      <c r="D27" s="77">
        <v>331</v>
      </c>
      <c r="E27" s="77">
        <f t="shared" si="0"/>
        <v>-51.89999999999998</v>
      </c>
      <c r="F27" s="78">
        <f t="shared" si="1"/>
        <v>86.44554714024551</v>
      </c>
      <c r="G27" s="45">
        <f>D27/D45*100</f>
        <v>0.038647148961290734</v>
      </c>
      <c r="H27" s="15"/>
    </row>
    <row r="28" spans="1:8" s="10" customFormat="1" ht="25.5">
      <c r="A28" s="31"/>
      <c r="B28" s="2" t="s">
        <v>116</v>
      </c>
      <c r="C28" s="77">
        <v>2808.4</v>
      </c>
      <c r="D28" s="77">
        <v>2890</v>
      </c>
      <c r="E28" s="77">
        <f t="shared" si="0"/>
        <v>81.59999999999991</v>
      </c>
      <c r="F28" s="78">
        <f t="shared" si="1"/>
        <v>102.9055690072639</v>
      </c>
      <c r="G28" s="45">
        <f>D28/D45*100</f>
        <v>0.3374328111725988</v>
      </c>
      <c r="H28" s="15"/>
    </row>
    <row r="29" spans="1:8" ht="25.5">
      <c r="A29" s="31"/>
      <c r="B29" s="2" t="s">
        <v>117</v>
      </c>
      <c r="C29" s="77">
        <v>22883.5</v>
      </c>
      <c r="D29" s="77">
        <v>22242.7</v>
      </c>
      <c r="E29" s="77">
        <f t="shared" si="0"/>
        <v>-640.7999999999993</v>
      </c>
      <c r="F29" s="78">
        <f t="shared" si="1"/>
        <v>97.1997290624249</v>
      </c>
      <c r="G29" s="45">
        <f>D29/D45*100</f>
        <v>2.5970300308196417</v>
      </c>
      <c r="H29" s="15"/>
    </row>
    <row r="30" spans="1:8" s="10" customFormat="1" ht="25.5">
      <c r="A30" s="31"/>
      <c r="B30" s="2" t="s">
        <v>118</v>
      </c>
      <c r="C30" s="77">
        <v>240779.7</v>
      </c>
      <c r="D30" s="77">
        <v>240761.8</v>
      </c>
      <c r="E30" s="77">
        <f t="shared" si="0"/>
        <v>-17.900000000023283</v>
      </c>
      <c r="F30" s="78">
        <f t="shared" si="1"/>
        <v>99.99256581846392</v>
      </c>
      <c r="G30" s="45">
        <f>D30/D45*100</f>
        <v>28.111048787880627</v>
      </c>
      <c r="H30" s="15"/>
    </row>
    <row r="31" spans="1:8" s="10" customFormat="1" ht="25.5">
      <c r="A31" s="31"/>
      <c r="B31" s="2" t="s">
        <v>119</v>
      </c>
      <c r="C31" s="77">
        <v>9124.9</v>
      </c>
      <c r="D31" s="77">
        <v>9124.2</v>
      </c>
      <c r="E31" s="77">
        <f t="shared" si="0"/>
        <v>-0.6999999999989086</v>
      </c>
      <c r="F31" s="78">
        <f t="shared" si="1"/>
        <v>99.99232868305408</v>
      </c>
      <c r="G31" s="45">
        <f>D31/D45*100</f>
        <v>1.0653302614882445</v>
      </c>
      <c r="H31" s="15"/>
    </row>
    <row r="32" spans="1:8" s="10" customFormat="1" ht="39" customHeight="1">
      <c r="A32" s="31"/>
      <c r="B32" s="2" t="s">
        <v>120</v>
      </c>
      <c r="C32" s="77">
        <v>4455.1</v>
      </c>
      <c r="D32" s="77">
        <v>4448.8</v>
      </c>
      <c r="E32" s="77">
        <f t="shared" si="0"/>
        <v>-6.300000000000182</v>
      </c>
      <c r="F32" s="78">
        <f t="shared" si="1"/>
        <v>99.85858903279387</v>
      </c>
      <c r="G32" s="45">
        <f>D32/D45*100</f>
        <v>0.5194363634410581</v>
      </c>
      <c r="H32" s="15"/>
    </row>
    <row r="33" spans="1:8" s="12" customFormat="1" ht="12.75">
      <c r="A33" s="31"/>
      <c r="B33" s="2" t="s">
        <v>121</v>
      </c>
      <c r="C33" s="77">
        <v>1862</v>
      </c>
      <c r="D33" s="77">
        <v>1862</v>
      </c>
      <c r="E33" s="77">
        <f t="shared" si="0"/>
        <v>0</v>
      </c>
      <c r="F33" s="78">
        <f t="shared" si="1"/>
        <v>100</v>
      </c>
      <c r="G33" s="45">
        <f>D33/D45*100</f>
        <v>0.21740480775203427</v>
      </c>
      <c r="H33" s="15"/>
    </row>
    <row r="34" spans="1:8" s="12" customFormat="1" ht="25.5">
      <c r="A34" s="31"/>
      <c r="B34" s="2" t="s">
        <v>122</v>
      </c>
      <c r="C34" s="77">
        <v>75105.9</v>
      </c>
      <c r="D34" s="77">
        <f>73564.2+1541.7</f>
        <v>75105.9</v>
      </c>
      <c r="E34" s="77">
        <f t="shared" si="0"/>
        <v>0</v>
      </c>
      <c r="F34" s="78">
        <f t="shared" si="1"/>
        <v>100</v>
      </c>
      <c r="G34" s="45">
        <f>D34/D45*100</f>
        <v>8.76927161683325</v>
      </c>
      <c r="H34" s="15"/>
    </row>
    <row r="35" spans="1:8" s="12" customFormat="1" ht="12.75">
      <c r="A35" s="31" t="s">
        <v>30</v>
      </c>
      <c r="B35" s="2" t="s">
        <v>90</v>
      </c>
      <c r="C35" s="77">
        <f>SUM(C36:C42)</f>
        <v>50993.399999999994</v>
      </c>
      <c r="D35" s="77">
        <f>SUM(D36:D42)</f>
        <v>48883.8</v>
      </c>
      <c r="E35" s="77">
        <f t="shared" si="0"/>
        <v>-2109.5999999999913</v>
      </c>
      <c r="F35" s="78">
        <f t="shared" si="1"/>
        <v>95.86299403452213</v>
      </c>
      <c r="G35" s="45">
        <f>D35/D45*100</f>
        <v>5.707611783667504</v>
      </c>
      <c r="H35" s="15"/>
    </row>
    <row r="36" spans="1:8" s="10" customFormat="1" ht="12.75">
      <c r="A36" s="31"/>
      <c r="B36" s="2" t="s">
        <v>156</v>
      </c>
      <c r="C36" s="77">
        <v>449.2</v>
      </c>
      <c r="D36" s="77">
        <v>449.2</v>
      </c>
      <c r="E36" s="77">
        <f t="shared" si="0"/>
        <v>0</v>
      </c>
      <c r="F36" s="78">
        <f t="shared" si="1"/>
        <v>100</v>
      </c>
      <c r="G36" s="45">
        <f>D36/D45*100</f>
        <v>0.052448034179491836</v>
      </c>
      <c r="H36" s="15"/>
    </row>
    <row r="37" spans="1:8" s="10" customFormat="1" ht="25.5">
      <c r="A37" s="31"/>
      <c r="B37" s="2" t="s">
        <v>157</v>
      </c>
      <c r="C37" s="77">
        <v>2345</v>
      </c>
      <c r="D37" s="77">
        <v>1955.4</v>
      </c>
      <c r="E37" s="77">
        <f t="shared" si="0"/>
        <v>-389.5999999999999</v>
      </c>
      <c r="F37" s="78">
        <f t="shared" si="1"/>
        <v>83.3859275053305</v>
      </c>
      <c r="G37" s="45">
        <f>D37/D45*100</f>
        <v>0.22831007576709336</v>
      </c>
      <c r="H37" s="15"/>
    </row>
    <row r="38" spans="1:8" s="10" customFormat="1" ht="25.5">
      <c r="A38" s="31"/>
      <c r="B38" s="2" t="s">
        <v>158</v>
      </c>
      <c r="C38" s="77">
        <v>364.6</v>
      </c>
      <c r="D38" s="77">
        <v>364.6</v>
      </c>
      <c r="E38" s="77">
        <f t="shared" si="0"/>
        <v>0</v>
      </c>
      <c r="F38" s="78">
        <f t="shared" si="1"/>
        <v>100</v>
      </c>
      <c r="G38" s="45">
        <f>D38/D45*100</f>
        <v>0.04257024323651541</v>
      </c>
      <c r="H38" s="15"/>
    </row>
    <row r="39" spans="1:8" s="10" customFormat="1" ht="25.5">
      <c r="A39" s="31"/>
      <c r="B39" s="2" t="s">
        <v>126</v>
      </c>
      <c r="C39" s="77">
        <v>7268.2</v>
      </c>
      <c r="D39" s="77">
        <v>7074.3</v>
      </c>
      <c r="E39" s="77">
        <f t="shared" si="0"/>
        <v>-193.89999999999964</v>
      </c>
      <c r="F39" s="78">
        <f t="shared" si="1"/>
        <v>97.33221430340387</v>
      </c>
      <c r="G39" s="45">
        <f>D39/D45*100</f>
        <v>0.8259864830720818</v>
      </c>
      <c r="H39" s="15"/>
    </row>
    <row r="40" spans="1:8" s="10" customFormat="1" ht="25.5">
      <c r="A40" s="31"/>
      <c r="B40" s="2" t="s">
        <v>127</v>
      </c>
      <c r="C40" s="77">
        <v>8600</v>
      </c>
      <c r="D40" s="77">
        <v>8600</v>
      </c>
      <c r="E40" s="77">
        <f t="shared" si="0"/>
        <v>0</v>
      </c>
      <c r="F40" s="78">
        <f t="shared" si="1"/>
        <v>100</v>
      </c>
      <c r="G40" s="45">
        <f>D40/D45*100</f>
        <v>1.0041253204444118</v>
      </c>
      <c r="H40" s="15"/>
    </row>
    <row r="41" spans="1:8" s="10" customFormat="1" ht="27" customHeight="1">
      <c r="A41" s="31"/>
      <c r="B41" s="2" t="s">
        <v>159</v>
      </c>
      <c r="C41" s="77">
        <v>14732.7</v>
      </c>
      <c r="D41" s="77">
        <v>14732.8</v>
      </c>
      <c r="E41" s="77">
        <f t="shared" si="0"/>
        <v>0.09999999999854481</v>
      </c>
      <c r="F41" s="78">
        <f t="shared" si="1"/>
        <v>100.00067876220922</v>
      </c>
      <c r="G41" s="45">
        <f>D41/D45*100</f>
        <v>1.7201834326794685</v>
      </c>
      <c r="H41" s="15"/>
    </row>
    <row r="42" spans="1:8" s="10" customFormat="1" ht="12.75">
      <c r="A42" s="31"/>
      <c r="B42" s="2" t="s">
        <v>160</v>
      </c>
      <c r="C42" s="77">
        <v>17233.7</v>
      </c>
      <c r="D42" s="77">
        <v>15707.5</v>
      </c>
      <c r="E42" s="77">
        <f t="shared" si="0"/>
        <v>-1526.2000000000007</v>
      </c>
      <c r="F42" s="78">
        <f t="shared" si="1"/>
        <v>91.14409558017141</v>
      </c>
      <c r="G42" s="45">
        <f>D42/D45*100</f>
        <v>1.8339881942884415</v>
      </c>
      <c r="H42" s="15"/>
    </row>
    <row r="43" spans="1:8" s="10" customFormat="1" ht="25.5">
      <c r="A43" s="31" t="s">
        <v>31</v>
      </c>
      <c r="B43" s="2" t="s">
        <v>92</v>
      </c>
      <c r="C43" s="77">
        <v>14474.6</v>
      </c>
      <c r="D43" s="77">
        <v>14405.6</v>
      </c>
      <c r="E43" s="77">
        <f t="shared" si="0"/>
        <v>-69</v>
      </c>
      <c r="F43" s="78">
        <f t="shared" si="1"/>
        <v>99.523302889199</v>
      </c>
      <c r="G43" s="45">
        <f>D43/D45*100</f>
        <v>1.6819799669993047</v>
      </c>
      <c r="H43" s="15"/>
    </row>
    <row r="44" spans="1:7" ht="12.75">
      <c r="A44" s="11" t="s">
        <v>172</v>
      </c>
      <c r="B44" s="2" t="s">
        <v>173</v>
      </c>
      <c r="C44" s="77"/>
      <c r="D44" s="77">
        <v>-2404.4</v>
      </c>
      <c r="E44" s="77">
        <f t="shared" si="0"/>
        <v>-2404.4</v>
      </c>
      <c r="F44" s="78"/>
      <c r="G44" s="45">
        <f>D44/D45*100</f>
        <v>-0.280734758194947</v>
      </c>
    </row>
    <row r="45" spans="1:8" s="10" customFormat="1" ht="22.5" customHeight="1">
      <c r="A45" s="3" t="s">
        <v>9</v>
      </c>
      <c r="B45" s="4"/>
      <c r="C45" s="3">
        <f>C21+C4</f>
        <v>863375.7999999999</v>
      </c>
      <c r="D45" s="3">
        <f>D21+D4</f>
        <v>856466.8</v>
      </c>
      <c r="E45" s="48">
        <f t="shared" si="0"/>
        <v>-6908.999999999884</v>
      </c>
      <c r="F45" s="74">
        <f t="shared" si="1"/>
        <v>99.19976909243925</v>
      </c>
      <c r="G45" s="46">
        <f>G6+G7+G8+G9+G10+G11+G12+G13+G15+G16+G17+G18+G19+G20+G22+G24+G25+G26+G27+G28+G29+G30+G31+G32+G33+G34+G36+G37+G38+G39+G40+G41+G42+G43+G44</f>
        <v>99.99999999999999</v>
      </c>
      <c r="H45" s="15"/>
    </row>
  </sheetData>
  <sheetProtection/>
  <mergeCells count="2">
    <mergeCell ref="A1:G1"/>
    <mergeCell ref="A2:G2"/>
  </mergeCells>
  <printOptions horizontalCentered="1"/>
  <pageMargins left="0.15748031496062992" right="0.15748031496062992" top="0.3937007874015748" bottom="0.3937007874015748" header="0.11811023622047245" footer="0.11811023622047245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9.00390625" style="18" customWidth="1"/>
    <col min="2" max="2" width="50.375" style="26" customWidth="1"/>
    <col min="3" max="3" width="14.25390625" style="18" customWidth="1"/>
    <col min="4" max="4" width="11.875" style="18" customWidth="1"/>
    <col min="5" max="5" width="13.00390625" style="18" customWidth="1"/>
    <col min="6" max="6" width="12.375" style="18" customWidth="1"/>
    <col min="7" max="7" width="14.375" style="18" customWidth="1"/>
    <col min="8" max="9" width="9.125" style="18" customWidth="1"/>
  </cols>
  <sheetData>
    <row r="1" spans="1:7" ht="12.75">
      <c r="A1" s="159" t="s">
        <v>74</v>
      </c>
      <c r="B1" s="160"/>
      <c r="C1" s="160"/>
      <c r="D1" s="160"/>
      <c r="E1" s="160"/>
      <c r="F1" s="160"/>
      <c r="G1" s="160"/>
    </row>
    <row r="2" spans="1:7" ht="26.25" customHeight="1">
      <c r="A2" s="145" t="s">
        <v>176</v>
      </c>
      <c r="B2" s="145"/>
      <c r="C2" s="145"/>
      <c r="D2" s="145"/>
      <c r="E2" s="145"/>
      <c r="F2" s="145"/>
      <c r="G2" s="145"/>
    </row>
    <row r="3" spans="1:9" s="28" customFormat="1" ht="53.25" customHeight="1">
      <c r="A3" s="30"/>
      <c r="B3" s="30" t="s">
        <v>12</v>
      </c>
      <c r="C3" s="30" t="s">
        <v>162</v>
      </c>
      <c r="D3" s="30" t="s">
        <v>171</v>
      </c>
      <c r="E3" s="30" t="s">
        <v>43</v>
      </c>
      <c r="F3" s="30" t="s">
        <v>11</v>
      </c>
      <c r="G3" s="30" t="s">
        <v>51</v>
      </c>
      <c r="H3" s="27"/>
      <c r="I3" s="27"/>
    </row>
    <row r="4" spans="1:9" s="5" customFormat="1" ht="12.75">
      <c r="A4" s="25">
        <v>1</v>
      </c>
      <c r="B4" s="25" t="s">
        <v>13</v>
      </c>
      <c r="C4" s="22">
        <f>SUM(C5:C11)</f>
        <v>59713.9</v>
      </c>
      <c r="D4" s="22">
        <f>SUM(D5:D11)</f>
        <v>57776.899999999994</v>
      </c>
      <c r="E4" s="22">
        <f>D4-C4</f>
        <v>-1937.0000000000073</v>
      </c>
      <c r="F4" s="23">
        <f>D4/C4*100</f>
        <v>96.75619914291312</v>
      </c>
      <c r="G4" s="23">
        <f>D4/D48*100</f>
        <v>7.720530657950649</v>
      </c>
      <c r="H4" s="21"/>
      <c r="I4" s="21"/>
    </row>
    <row r="5" spans="1:7" ht="25.5">
      <c r="A5" s="32" t="s">
        <v>3</v>
      </c>
      <c r="B5" s="24" t="s">
        <v>34</v>
      </c>
      <c r="C5" s="20">
        <v>2055</v>
      </c>
      <c r="D5" s="19">
        <v>1980.6</v>
      </c>
      <c r="E5" s="49">
        <f>D5-C5</f>
        <v>-74.40000000000009</v>
      </c>
      <c r="F5" s="43">
        <f>D5/C5*100</f>
        <v>96.37956204379562</v>
      </c>
      <c r="G5" s="43">
        <f>D5/D48*100</f>
        <v>0.2646608423286306</v>
      </c>
    </row>
    <row r="6" spans="1:7" ht="25.5">
      <c r="A6" s="20" t="s">
        <v>4</v>
      </c>
      <c r="B6" s="24" t="s">
        <v>35</v>
      </c>
      <c r="C6" s="20">
        <v>1529.1</v>
      </c>
      <c r="D6" s="19">
        <v>1522.6</v>
      </c>
      <c r="E6" s="49">
        <f aca="true" t="shared" si="0" ref="E6:E48">D6-C6</f>
        <v>-6.5</v>
      </c>
      <c r="F6" s="43">
        <f aca="true" t="shared" si="1" ref="F6:F48">D6/C6*100</f>
        <v>99.57491334772088</v>
      </c>
      <c r="G6" s="43">
        <f>D6/D48*100</f>
        <v>0.2034598599058734</v>
      </c>
    </row>
    <row r="7" spans="1:7" ht="25.5">
      <c r="A7" s="20" t="s">
        <v>25</v>
      </c>
      <c r="B7" s="24" t="s">
        <v>36</v>
      </c>
      <c r="C7" s="20">
        <v>44975.8</v>
      </c>
      <c r="D7" s="19">
        <v>43747.5</v>
      </c>
      <c r="E7" s="49">
        <f t="shared" si="0"/>
        <v>-1228.300000000003</v>
      </c>
      <c r="F7" s="43">
        <f t="shared" si="1"/>
        <v>97.26897576029775</v>
      </c>
      <c r="G7" s="43">
        <f>D7/D48*100</f>
        <v>5.845829647466306</v>
      </c>
    </row>
    <row r="8" spans="1:7" ht="12.75">
      <c r="A8" s="20" t="s">
        <v>38</v>
      </c>
      <c r="B8" s="24" t="s">
        <v>37</v>
      </c>
      <c r="C8" s="20">
        <v>5.2</v>
      </c>
      <c r="E8" s="49">
        <f t="shared" si="0"/>
        <v>-5.2</v>
      </c>
      <c r="F8" s="43">
        <f t="shared" si="1"/>
        <v>0</v>
      </c>
      <c r="G8" s="43">
        <f>D8/D48*100</f>
        <v>0</v>
      </c>
    </row>
    <row r="9" spans="1:7" ht="25.5">
      <c r="A9" s="20" t="s">
        <v>39</v>
      </c>
      <c r="B9" s="24" t="s">
        <v>40</v>
      </c>
      <c r="C9" s="20">
        <v>4828.9</v>
      </c>
      <c r="D9" s="19">
        <v>4824.6</v>
      </c>
      <c r="E9" s="49">
        <f t="shared" si="0"/>
        <v>-4.299999999999272</v>
      </c>
      <c r="F9" s="43">
        <f t="shared" si="1"/>
        <v>99.91095280498665</v>
      </c>
      <c r="G9" s="43">
        <f>D9/D48*100</f>
        <v>0.6446948903861007</v>
      </c>
    </row>
    <row r="10" spans="1:7" ht="12.75">
      <c r="A10" s="33" t="s">
        <v>101</v>
      </c>
      <c r="B10" s="24" t="s">
        <v>41</v>
      </c>
      <c r="C10" s="20">
        <v>19.1</v>
      </c>
      <c r="D10" s="20">
        <v>0</v>
      </c>
      <c r="E10" s="49">
        <f t="shared" si="0"/>
        <v>-19.1</v>
      </c>
      <c r="F10" s="43">
        <f t="shared" si="1"/>
        <v>0</v>
      </c>
      <c r="G10" s="43">
        <f>D10/D48*100</f>
        <v>0</v>
      </c>
    </row>
    <row r="11" spans="1:9" s="7" customFormat="1" ht="12.75">
      <c r="A11" s="20" t="s">
        <v>102</v>
      </c>
      <c r="B11" s="24" t="s">
        <v>42</v>
      </c>
      <c r="C11" s="20">
        <v>6300.8</v>
      </c>
      <c r="D11" s="20">
        <v>5701.6</v>
      </c>
      <c r="E11" s="49">
        <f t="shared" si="0"/>
        <v>-599.1999999999998</v>
      </c>
      <c r="F11" s="43">
        <f t="shared" si="1"/>
        <v>90.49009649568309</v>
      </c>
      <c r="G11" s="43">
        <f>D11/D48*100</f>
        <v>0.7618854178637383</v>
      </c>
      <c r="H11" s="17"/>
      <c r="I11" s="17"/>
    </row>
    <row r="12" spans="1:9" s="7" customFormat="1" ht="25.5">
      <c r="A12" s="41" t="s">
        <v>14</v>
      </c>
      <c r="B12" s="41" t="s">
        <v>79</v>
      </c>
      <c r="C12" s="40">
        <f>SUM(C13:C14)</f>
        <v>1167.4</v>
      </c>
      <c r="D12" s="40">
        <f>SUM(D13:D14)</f>
        <v>1080.6</v>
      </c>
      <c r="E12" s="40">
        <f t="shared" si="0"/>
        <v>-86.80000000000018</v>
      </c>
      <c r="F12" s="44">
        <f t="shared" si="1"/>
        <v>92.56467363371593</v>
      </c>
      <c r="G12" s="44">
        <f>D12/D48*100</f>
        <v>0.14439690306993747</v>
      </c>
      <c r="H12" s="52"/>
      <c r="I12" s="17"/>
    </row>
    <row r="13" spans="1:9" s="47" customFormat="1" ht="25.5">
      <c r="A13" s="20" t="s">
        <v>6</v>
      </c>
      <c r="B13" s="24" t="s">
        <v>132</v>
      </c>
      <c r="C13" s="20">
        <v>892.4</v>
      </c>
      <c r="D13" s="20">
        <v>805.6</v>
      </c>
      <c r="E13" s="49">
        <f t="shared" si="0"/>
        <v>-86.79999999999995</v>
      </c>
      <c r="F13" s="43">
        <f t="shared" si="1"/>
        <v>90.27341999103542</v>
      </c>
      <c r="G13" s="43">
        <f>D13/D48*100</f>
        <v>0.10764958829644793</v>
      </c>
      <c r="H13" s="50"/>
      <c r="I13" s="50"/>
    </row>
    <row r="14" spans="1:9" s="7" customFormat="1" ht="25.5">
      <c r="A14" s="20" t="s">
        <v>6</v>
      </c>
      <c r="B14" s="24" t="s">
        <v>93</v>
      </c>
      <c r="C14" s="20">
        <v>275</v>
      </c>
      <c r="D14" s="20">
        <v>275</v>
      </c>
      <c r="E14" s="49">
        <f t="shared" si="0"/>
        <v>0</v>
      </c>
      <c r="F14" s="43">
        <f t="shared" si="1"/>
        <v>100</v>
      </c>
      <c r="G14" s="43">
        <f>D14/D48*100</f>
        <v>0.036747314773489546</v>
      </c>
      <c r="H14" s="52"/>
      <c r="I14" s="17"/>
    </row>
    <row r="15" spans="1:9" s="5" customFormat="1" ht="12.75">
      <c r="A15" s="25" t="s">
        <v>15</v>
      </c>
      <c r="B15" s="25" t="s">
        <v>44</v>
      </c>
      <c r="C15" s="22">
        <f>SUM(C16:C19)</f>
        <v>23333.5</v>
      </c>
      <c r="D15" s="22">
        <f>SUM(D16:D19)</f>
        <v>20844.9</v>
      </c>
      <c r="E15" s="40">
        <f t="shared" si="0"/>
        <v>-2488.5999999999985</v>
      </c>
      <c r="F15" s="44">
        <f t="shared" si="1"/>
        <v>89.33464760965994</v>
      </c>
      <c r="G15" s="44">
        <f>D15/D48*100</f>
        <v>2.7854330971705905</v>
      </c>
      <c r="H15" s="52"/>
      <c r="I15" s="21"/>
    </row>
    <row r="16" spans="1:9" s="7" customFormat="1" ht="12.75">
      <c r="A16" s="20" t="s">
        <v>8</v>
      </c>
      <c r="B16" s="24" t="s">
        <v>45</v>
      </c>
      <c r="C16" s="20">
        <v>4611.5</v>
      </c>
      <c r="D16" s="20">
        <v>4611.5</v>
      </c>
      <c r="E16" s="49">
        <f t="shared" si="0"/>
        <v>0</v>
      </c>
      <c r="F16" s="43">
        <f t="shared" si="1"/>
        <v>100</v>
      </c>
      <c r="G16" s="43">
        <f>D16/D48*100</f>
        <v>0.6162190621016257</v>
      </c>
      <c r="H16" s="17"/>
      <c r="I16" s="17"/>
    </row>
    <row r="17" spans="1:9" s="7" customFormat="1" ht="12.75">
      <c r="A17" s="20" t="s">
        <v>47</v>
      </c>
      <c r="B17" s="24" t="s">
        <v>77</v>
      </c>
      <c r="C17" s="20">
        <v>11186</v>
      </c>
      <c r="D17" s="20">
        <v>8888.3</v>
      </c>
      <c r="E17" s="49">
        <f t="shared" si="0"/>
        <v>-2297.7000000000007</v>
      </c>
      <c r="F17" s="43">
        <f t="shared" si="1"/>
        <v>79.45914536027176</v>
      </c>
      <c r="G17" s="43">
        <f>D17/D48*100</f>
        <v>1.187713301458935</v>
      </c>
      <c r="H17" s="17"/>
      <c r="I17" s="17"/>
    </row>
    <row r="18" spans="1:9" s="7" customFormat="1" ht="12.75">
      <c r="A18" s="20" t="s">
        <v>66</v>
      </c>
      <c r="B18" s="24" t="s">
        <v>46</v>
      </c>
      <c r="C18" s="20">
        <v>7020.3</v>
      </c>
      <c r="D18" s="20">
        <v>6876.2</v>
      </c>
      <c r="E18" s="49">
        <f t="shared" si="0"/>
        <v>-144.10000000000036</v>
      </c>
      <c r="F18" s="43">
        <f t="shared" si="1"/>
        <v>97.94738116604704</v>
      </c>
      <c r="G18" s="43">
        <f>D18/D48*100</f>
        <v>0.9188432212562504</v>
      </c>
      <c r="H18" s="17"/>
      <c r="I18" s="17"/>
    </row>
    <row r="19" spans="1:9" s="7" customFormat="1" ht="12.75">
      <c r="A19" s="20" t="s">
        <v>80</v>
      </c>
      <c r="B19" s="24" t="s">
        <v>144</v>
      </c>
      <c r="C19" s="20">
        <v>515.7</v>
      </c>
      <c r="D19" s="20">
        <v>468.9</v>
      </c>
      <c r="E19" s="49">
        <f t="shared" si="0"/>
        <v>-46.80000000000007</v>
      </c>
      <c r="F19" s="43">
        <f t="shared" si="1"/>
        <v>90.92495636998254</v>
      </c>
      <c r="G19" s="43">
        <f>D19/D48*100</f>
        <v>0.06265751235377909</v>
      </c>
      <c r="H19" s="17"/>
      <c r="I19" s="17"/>
    </row>
    <row r="20" spans="1:9" s="5" customFormat="1" ht="12.75">
      <c r="A20" s="25" t="s">
        <v>16</v>
      </c>
      <c r="B20" s="25" t="s">
        <v>17</v>
      </c>
      <c r="C20" s="22">
        <f>SUM(C21:C22)</f>
        <v>29096.6</v>
      </c>
      <c r="D20" s="22">
        <f>SUM(D21:D22)</f>
        <v>26208.1</v>
      </c>
      <c r="E20" s="40">
        <f t="shared" si="0"/>
        <v>-2888.5</v>
      </c>
      <c r="F20" s="44">
        <f t="shared" si="1"/>
        <v>90.07272327350961</v>
      </c>
      <c r="G20" s="44">
        <f>D20/D48*100</f>
        <v>3.5020992738730596</v>
      </c>
      <c r="H20" s="52"/>
      <c r="I20" s="21"/>
    </row>
    <row r="21" spans="1:7" ht="12.75">
      <c r="A21" s="20" t="s">
        <v>18</v>
      </c>
      <c r="B21" s="24" t="s">
        <v>94</v>
      </c>
      <c r="C21" s="20">
        <v>12686.9</v>
      </c>
      <c r="D21" s="19">
        <v>12180</v>
      </c>
      <c r="E21" s="49">
        <f t="shared" si="0"/>
        <v>-506.89999999999964</v>
      </c>
      <c r="F21" s="43">
        <f t="shared" si="1"/>
        <v>96.00454011618284</v>
      </c>
      <c r="G21" s="43">
        <f>D21/D48*100</f>
        <v>1.6275719779676463</v>
      </c>
    </row>
    <row r="22" spans="1:9" s="7" customFormat="1" ht="12.75">
      <c r="A22" s="20" t="s">
        <v>81</v>
      </c>
      <c r="B22" s="24" t="s">
        <v>95</v>
      </c>
      <c r="C22" s="20">
        <v>16409.7</v>
      </c>
      <c r="D22" s="20">
        <v>14028.1</v>
      </c>
      <c r="E22" s="49">
        <f t="shared" si="0"/>
        <v>-2381.6000000000004</v>
      </c>
      <c r="F22" s="43">
        <f t="shared" si="1"/>
        <v>85.48663290614698</v>
      </c>
      <c r="G22" s="43">
        <f>D22/D48*100</f>
        <v>1.8745272959054138</v>
      </c>
      <c r="H22" s="17"/>
      <c r="I22" s="17"/>
    </row>
    <row r="23" spans="1:9" s="5" customFormat="1" ht="12.75">
      <c r="A23" s="25" t="s">
        <v>26</v>
      </c>
      <c r="B23" s="25" t="s">
        <v>48</v>
      </c>
      <c r="C23" s="22">
        <f>C24</f>
        <v>349.6</v>
      </c>
      <c r="D23" s="22">
        <f>D24</f>
        <v>240</v>
      </c>
      <c r="E23" s="40">
        <f t="shared" si="0"/>
        <v>-109.60000000000002</v>
      </c>
      <c r="F23" s="44">
        <f t="shared" si="1"/>
        <v>68.64988558352402</v>
      </c>
      <c r="G23" s="44">
        <f>D23/D48*100</f>
        <v>0.03207038380231815</v>
      </c>
      <c r="H23" s="52"/>
      <c r="I23" s="21"/>
    </row>
    <row r="24" spans="1:9" s="7" customFormat="1" ht="25.5">
      <c r="A24" s="20" t="s">
        <v>19</v>
      </c>
      <c r="B24" s="24" t="s">
        <v>96</v>
      </c>
      <c r="C24" s="20">
        <v>349.6</v>
      </c>
      <c r="D24" s="20">
        <v>240</v>
      </c>
      <c r="E24" s="49">
        <f t="shared" si="0"/>
        <v>-109.60000000000002</v>
      </c>
      <c r="F24" s="43">
        <f t="shared" si="1"/>
        <v>68.64988558352402</v>
      </c>
      <c r="G24" s="43">
        <f>D24/D48*100</f>
        <v>0.03207038380231815</v>
      </c>
      <c r="H24" s="52"/>
      <c r="I24" s="17"/>
    </row>
    <row r="25" spans="1:9" s="5" customFormat="1" ht="12.75">
      <c r="A25" s="25" t="s">
        <v>20</v>
      </c>
      <c r="B25" s="25" t="s">
        <v>49</v>
      </c>
      <c r="C25" s="22">
        <f>SUM(C26:C29)</f>
        <v>332912.5</v>
      </c>
      <c r="D25" s="22">
        <f>SUM(D26:D29)</f>
        <v>332489.2</v>
      </c>
      <c r="E25" s="40">
        <f t="shared" si="0"/>
        <v>-423.29999999998836</v>
      </c>
      <c r="F25" s="44">
        <f t="shared" si="1"/>
        <v>99.87284947245898</v>
      </c>
      <c r="G25" s="44">
        <f>D25/D48*100</f>
        <v>44.429401058857174</v>
      </c>
      <c r="H25" s="21"/>
      <c r="I25" s="21"/>
    </row>
    <row r="26" spans="1:9" s="7" customFormat="1" ht="12.75">
      <c r="A26" s="20" t="s">
        <v>21</v>
      </c>
      <c r="B26" s="24" t="s">
        <v>50</v>
      </c>
      <c r="C26" s="20">
        <v>91475.3</v>
      </c>
      <c r="D26" s="20">
        <v>91416</v>
      </c>
      <c r="E26" s="49">
        <f t="shared" si="0"/>
        <v>-59.30000000000291</v>
      </c>
      <c r="F26" s="43">
        <f t="shared" si="1"/>
        <v>99.93517375728749</v>
      </c>
      <c r="G26" s="43">
        <f>D26/D48*100</f>
        <v>12.215609190302985</v>
      </c>
      <c r="H26" s="17"/>
      <c r="I26" s="17"/>
    </row>
    <row r="27" spans="1:9" s="7" customFormat="1" ht="12.75">
      <c r="A27" s="20" t="s">
        <v>56</v>
      </c>
      <c r="B27" s="24" t="s">
        <v>52</v>
      </c>
      <c r="C27" s="20">
        <f>217473.3+135.8</f>
        <v>217609.09999999998</v>
      </c>
      <c r="D27" s="20">
        <v>217270.4</v>
      </c>
      <c r="E27" s="49">
        <f t="shared" si="0"/>
        <v>-338.69999999998254</v>
      </c>
      <c r="F27" s="43">
        <f t="shared" si="1"/>
        <v>99.84435393556612</v>
      </c>
      <c r="G27" s="43">
        <f>D27/D48*100</f>
        <v>29.033104653679942</v>
      </c>
      <c r="H27" s="17"/>
      <c r="I27" s="17"/>
    </row>
    <row r="28" spans="1:9" s="7" customFormat="1" ht="12.75">
      <c r="A28" s="20" t="s">
        <v>58</v>
      </c>
      <c r="B28" s="24" t="s">
        <v>53</v>
      </c>
      <c r="C28" s="20">
        <v>5894.9</v>
      </c>
      <c r="D28" s="20">
        <v>5874.6</v>
      </c>
      <c r="E28" s="49">
        <f t="shared" si="0"/>
        <v>-20.299999999999272</v>
      </c>
      <c r="F28" s="43">
        <f t="shared" si="1"/>
        <v>99.65563453154422</v>
      </c>
      <c r="G28" s="43">
        <f>D28/D48*100</f>
        <v>0.7850028195212426</v>
      </c>
      <c r="H28" s="17"/>
      <c r="I28" s="17"/>
    </row>
    <row r="29" spans="1:9" s="7" customFormat="1" ht="12.75">
      <c r="A29" s="20" t="s">
        <v>82</v>
      </c>
      <c r="B29" s="24" t="s">
        <v>54</v>
      </c>
      <c r="C29" s="20">
        <v>17933.2</v>
      </c>
      <c r="D29" s="20">
        <v>17928.2</v>
      </c>
      <c r="E29" s="49">
        <f t="shared" si="0"/>
        <v>-5</v>
      </c>
      <c r="F29" s="43">
        <f t="shared" si="1"/>
        <v>99.97211875181227</v>
      </c>
      <c r="G29" s="43">
        <f>D29/D48*100</f>
        <v>2.3956843953530016</v>
      </c>
      <c r="H29" s="52"/>
      <c r="I29" s="17"/>
    </row>
    <row r="30" spans="1:9" s="5" customFormat="1" ht="12.75">
      <c r="A30" s="25" t="s">
        <v>22</v>
      </c>
      <c r="B30" s="25" t="s">
        <v>164</v>
      </c>
      <c r="C30" s="22">
        <f>SUM(C31:C32)</f>
        <v>12659.2</v>
      </c>
      <c r="D30" s="22">
        <f>SUM(D31:D32)</f>
        <v>12561.199999999999</v>
      </c>
      <c r="E30" s="40">
        <f t="shared" si="0"/>
        <v>-98.00000000000182</v>
      </c>
      <c r="F30" s="44">
        <f t="shared" si="1"/>
        <v>99.22585945399392</v>
      </c>
      <c r="G30" s="44">
        <f>D30/D48*100</f>
        <v>1.6785104375736615</v>
      </c>
      <c r="H30" s="52"/>
      <c r="I30" s="21"/>
    </row>
    <row r="31" spans="1:9" s="7" customFormat="1" ht="12.75">
      <c r="A31" s="20" t="s">
        <v>23</v>
      </c>
      <c r="B31" s="24" t="s">
        <v>55</v>
      </c>
      <c r="C31" s="20">
        <v>12339.2</v>
      </c>
      <c r="D31" s="20">
        <v>12259.8</v>
      </c>
      <c r="E31" s="49">
        <f t="shared" si="0"/>
        <v>-79.40000000000146</v>
      </c>
      <c r="F31" s="43">
        <f t="shared" si="1"/>
        <v>99.35652230290455</v>
      </c>
      <c r="G31" s="43">
        <f>D31/D48*100</f>
        <v>1.638235380581917</v>
      </c>
      <c r="H31" s="17"/>
      <c r="I31" s="17"/>
    </row>
    <row r="32" spans="1:7" ht="12.75">
      <c r="A32" s="20" t="s">
        <v>59</v>
      </c>
      <c r="B32" s="24" t="s">
        <v>165</v>
      </c>
      <c r="C32" s="20">
        <v>320</v>
      </c>
      <c r="D32" s="19">
        <v>301.4</v>
      </c>
      <c r="E32" s="49">
        <f t="shared" si="0"/>
        <v>-18.600000000000023</v>
      </c>
      <c r="F32" s="43">
        <f t="shared" si="1"/>
        <v>94.18749999999999</v>
      </c>
      <c r="G32" s="43">
        <f>D32/D48*100</f>
        <v>0.040275056991744544</v>
      </c>
    </row>
    <row r="33" spans="1:7" ht="12.75">
      <c r="A33" s="25" t="s">
        <v>76</v>
      </c>
      <c r="B33" s="25" t="s">
        <v>166</v>
      </c>
      <c r="C33" s="22">
        <f>SUM(C34:C36)</f>
        <v>55139.600000000006</v>
      </c>
      <c r="D33" s="40">
        <f>SUM(D34:D36)</f>
        <v>53251.9</v>
      </c>
      <c r="E33" s="40">
        <f t="shared" si="0"/>
        <v>-1887.7000000000044</v>
      </c>
      <c r="F33" s="44">
        <f t="shared" si="1"/>
        <v>96.5765076279117</v>
      </c>
      <c r="G33" s="44">
        <f>D33/D48*100</f>
        <v>7.115870296677776</v>
      </c>
    </row>
    <row r="34" spans="1:9" s="5" customFormat="1" ht="12.75">
      <c r="A34" s="20" t="s">
        <v>27</v>
      </c>
      <c r="B34" s="24" t="s">
        <v>133</v>
      </c>
      <c r="C34" s="20">
        <v>16961</v>
      </c>
      <c r="D34" s="19">
        <v>16075.9</v>
      </c>
      <c r="E34" s="49">
        <f t="shared" si="0"/>
        <v>-885.1000000000004</v>
      </c>
      <c r="F34" s="43">
        <f t="shared" si="1"/>
        <v>94.78155769117387</v>
      </c>
      <c r="G34" s="43">
        <f>D34/D48*100</f>
        <v>2.1481678456986937</v>
      </c>
      <c r="H34" s="21"/>
      <c r="I34" s="21"/>
    </row>
    <row r="35" spans="1:7" ht="12.75">
      <c r="A35" s="20" t="s">
        <v>60</v>
      </c>
      <c r="B35" s="24" t="s">
        <v>134</v>
      </c>
      <c r="C35" s="20">
        <v>19869.9</v>
      </c>
      <c r="D35" s="19">
        <v>18887.4</v>
      </c>
      <c r="E35" s="49">
        <f t="shared" si="0"/>
        <v>-982.5</v>
      </c>
      <c r="F35" s="43">
        <f t="shared" si="1"/>
        <v>95.05533495387496</v>
      </c>
      <c r="G35" s="43">
        <f>D35/D48*100</f>
        <v>2.5238590292829333</v>
      </c>
    </row>
    <row r="36" spans="1:7" ht="12.75">
      <c r="A36" s="20" t="s">
        <v>61</v>
      </c>
      <c r="B36" s="24" t="s">
        <v>168</v>
      </c>
      <c r="C36" s="20">
        <v>18308.7</v>
      </c>
      <c r="D36" s="18">
        <v>18288.6</v>
      </c>
      <c r="E36" s="49">
        <f t="shared" si="0"/>
        <v>-20.100000000002183</v>
      </c>
      <c r="F36" s="43">
        <f t="shared" si="1"/>
        <v>99.8902161267594</v>
      </c>
      <c r="G36" s="43">
        <f>D36/D48*100</f>
        <v>2.443843421696149</v>
      </c>
    </row>
    <row r="37" spans="1:8" ht="12.75">
      <c r="A37" s="25" t="s">
        <v>83</v>
      </c>
      <c r="B37" s="25" t="s">
        <v>167</v>
      </c>
      <c r="C37" s="22">
        <f>C38+C39+C40+C41+C42</f>
        <v>239127.2</v>
      </c>
      <c r="D37" s="22">
        <f>D38+D39+D40+D41+D42</f>
        <v>236883.5</v>
      </c>
      <c r="E37" s="40">
        <f t="shared" si="0"/>
        <v>-2243.7000000000116</v>
      </c>
      <c r="F37" s="44">
        <f t="shared" si="1"/>
        <v>99.06171276207809</v>
      </c>
      <c r="G37" s="44">
        <f>D37/D48*100</f>
        <v>31.653936505985136</v>
      </c>
      <c r="H37" s="52"/>
    </row>
    <row r="38" spans="1:9" s="5" customFormat="1" ht="12.75">
      <c r="A38" s="20" t="s">
        <v>65</v>
      </c>
      <c r="B38" s="24" t="s">
        <v>97</v>
      </c>
      <c r="C38" s="20">
        <v>4013.6</v>
      </c>
      <c r="D38" s="19">
        <v>3993.3</v>
      </c>
      <c r="E38" s="49">
        <f t="shared" si="0"/>
        <v>-20.299999999999727</v>
      </c>
      <c r="F38" s="43">
        <f t="shared" si="1"/>
        <v>99.4942196531792</v>
      </c>
      <c r="G38" s="43">
        <f>D38/D48*100</f>
        <v>0.5336110984908212</v>
      </c>
      <c r="H38" s="21"/>
      <c r="I38" s="21"/>
    </row>
    <row r="39" spans="1:7" ht="12.75">
      <c r="A39" s="20" t="s">
        <v>84</v>
      </c>
      <c r="B39" s="24" t="s">
        <v>62</v>
      </c>
      <c r="C39" s="20">
        <v>20170.1</v>
      </c>
      <c r="D39" s="19">
        <v>20168.3</v>
      </c>
      <c r="E39" s="49">
        <f t="shared" si="0"/>
        <v>-1.7999999999992724</v>
      </c>
      <c r="F39" s="43">
        <f t="shared" si="1"/>
        <v>99.99107589947496</v>
      </c>
      <c r="G39" s="43">
        <f>D39/D48*100</f>
        <v>2.6950213401678886</v>
      </c>
    </row>
    <row r="40" spans="1:7" ht="12.75">
      <c r="A40" s="20" t="s">
        <v>85</v>
      </c>
      <c r="B40" s="24" t="s">
        <v>63</v>
      </c>
      <c r="C40" s="20">
        <v>189948.7</v>
      </c>
      <c r="D40" s="19">
        <v>187761.6</v>
      </c>
      <c r="E40" s="49">
        <f t="shared" si="0"/>
        <v>-2187.100000000006</v>
      </c>
      <c r="F40" s="43">
        <f t="shared" si="1"/>
        <v>98.84858385448281</v>
      </c>
      <c r="G40" s="43">
        <f>D40/D48*100</f>
        <v>25.089944063905584</v>
      </c>
    </row>
    <row r="41" spans="1:7" ht="12.75">
      <c r="A41" s="20" t="s">
        <v>86</v>
      </c>
      <c r="B41" s="24" t="s">
        <v>78</v>
      </c>
      <c r="C41" s="20">
        <v>13580</v>
      </c>
      <c r="D41" s="19">
        <v>13573</v>
      </c>
      <c r="E41" s="49">
        <f t="shared" si="0"/>
        <v>-7</v>
      </c>
      <c r="F41" s="43">
        <f t="shared" si="1"/>
        <v>99.94845360824742</v>
      </c>
      <c r="G41" s="43">
        <f>D41/D48*100</f>
        <v>1.8137138306202678</v>
      </c>
    </row>
    <row r="42" spans="1:9" s="12" customFormat="1" ht="14.25" customHeight="1">
      <c r="A42" s="20" t="s">
        <v>87</v>
      </c>
      <c r="B42" s="24" t="s">
        <v>64</v>
      </c>
      <c r="C42" s="20">
        <v>11414.8</v>
      </c>
      <c r="D42" s="19">
        <v>11387.3</v>
      </c>
      <c r="E42" s="49">
        <f t="shared" si="0"/>
        <v>-27.5</v>
      </c>
      <c r="F42" s="43">
        <f t="shared" si="1"/>
        <v>99.75908469705995</v>
      </c>
      <c r="G42" s="43">
        <f>D42/D48*100</f>
        <v>1.521646172800573</v>
      </c>
      <c r="H42" s="29"/>
      <c r="I42" s="29"/>
    </row>
    <row r="43" spans="1:9" s="12" customFormat="1" ht="12.75">
      <c r="A43" s="25" t="s">
        <v>88</v>
      </c>
      <c r="B43" s="25" t="s">
        <v>169</v>
      </c>
      <c r="C43" s="22">
        <f>SUM(C44:C45)</f>
        <v>4926.5</v>
      </c>
      <c r="D43" s="22">
        <f>SUM(D44:D45)</f>
        <v>4916.9</v>
      </c>
      <c r="E43" s="40">
        <f t="shared" si="0"/>
        <v>-9.600000000000364</v>
      </c>
      <c r="F43" s="44">
        <f t="shared" si="1"/>
        <v>99.80513549172841</v>
      </c>
      <c r="G43" s="44">
        <f>D43/D48*100</f>
        <v>0.6570286254900755</v>
      </c>
      <c r="H43" s="53"/>
      <c r="I43" s="29"/>
    </row>
    <row r="44" spans="1:9" s="12" customFormat="1" ht="12.75">
      <c r="A44" s="20" t="s">
        <v>89</v>
      </c>
      <c r="B44" s="24" t="s">
        <v>136</v>
      </c>
      <c r="C44" s="20">
        <v>610</v>
      </c>
      <c r="D44" s="19">
        <v>610</v>
      </c>
      <c r="E44" s="49">
        <f t="shared" si="0"/>
        <v>0</v>
      </c>
      <c r="F44" s="43">
        <f t="shared" si="1"/>
        <v>100</v>
      </c>
      <c r="G44" s="43">
        <f>D44/D48*100</f>
        <v>0.08151222549755864</v>
      </c>
      <c r="H44" s="29"/>
      <c r="I44" s="29"/>
    </row>
    <row r="45" spans="1:9" s="12" customFormat="1" ht="12.75" customHeight="1">
      <c r="A45" s="20" t="s">
        <v>137</v>
      </c>
      <c r="B45" s="24" t="s">
        <v>138</v>
      </c>
      <c r="C45" s="20">
        <v>4316.5</v>
      </c>
      <c r="D45" s="7">
        <v>4306.9</v>
      </c>
      <c r="E45" s="49">
        <f t="shared" si="0"/>
        <v>-9.600000000000364</v>
      </c>
      <c r="F45" s="43">
        <f t="shared" si="1"/>
        <v>99.77759759064055</v>
      </c>
      <c r="G45" s="43">
        <f>D45/D48*100</f>
        <v>0.5755163999925168</v>
      </c>
      <c r="H45" s="53"/>
      <c r="I45" s="29"/>
    </row>
    <row r="46" spans="1:9" ht="12.75">
      <c r="A46" s="25" t="s">
        <v>139</v>
      </c>
      <c r="B46" s="25" t="s">
        <v>170</v>
      </c>
      <c r="C46" s="22">
        <f>C47</f>
        <v>2130</v>
      </c>
      <c r="D46" s="40">
        <f>SUM(D47)</f>
        <v>2100.8</v>
      </c>
      <c r="E46" s="40">
        <f t="shared" si="0"/>
        <v>-29.199999999999818</v>
      </c>
      <c r="F46" s="44">
        <f t="shared" si="1"/>
        <v>98.62910798122067</v>
      </c>
      <c r="G46" s="44">
        <f>D46/D48*100</f>
        <v>0.28072275954962495</v>
      </c>
      <c r="H46" s="52"/>
      <c r="I46" s="52"/>
    </row>
    <row r="47" spans="1:7" ht="12.75">
      <c r="A47" s="20" t="s">
        <v>140</v>
      </c>
      <c r="B47" s="24" t="s">
        <v>57</v>
      </c>
      <c r="C47" s="20">
        <v>2130</v>
      </c>
      <c r="D47" s="19">
        <v>2100.8</v>
      </c>
      <c r="E47" s="49">
        <f t="shared" si="0"/>
        <v>-29.199999999999818</v>
      </c>
      <c r="F47" s="43">
        <f t="shared" si="1"/>
        <v>98.62910798122067</v>
      </c>
      <c r="G47" s="43">
        <f>D47/D48*100</f>
        <v>0.28072275954962495</v>
      </c>
    </row>
    <row r="48" spans="1:8" ht="12.75">
      <c r="A48" s="161" t="s">
        <v>24</v>
      </c>
      <c r="B48" s="161"/>
      <c r="C48" s="22">
        <f>C43+C37+C33+C30+C25+C23+C20+C15+C4+C12+C46</f>
        <v>760556</v>
      </c>
      <c r="D48" s="22">
        <f>D43+D37+D33+D30+D25+D23+D20+D15+D4+D12+D46</f>
        <v>748354</v>
      </c>
      <c r="E48" s="40">
        <f t="shared" si="0"/>
        <v>-12202</v>
      </c>
      <c r="F48" s="44">
        <f t="shared" si="1"/>
        <v>98.39564739480065</v>
      </c>
      <c r="G48" s="44">
        <f>G5+G6+G7+G8+G9+G10+G11+G13+G14+G16+G17+G18+G19+G21+G22+G24+G26+G27+G28+G29+G31+G32+G34+G35+G36+G38+G39+G40+G41+G42+G44+G45+G47</f>
        <v>100.00000000000001</v>
      </c>
      <c r="H48" s="52"/>
    </row>
  </sheetData>
  <sheetProtection/>
  <mergeCells count="3">
    <mergeCell ref="A1:G1"/>
    <mergeCell ref="A2:G2"/>
    <mergeCell ref="A48:B48"/>
  </mergeCells>
  <printOptions horizontalCentered="1"/>
  <pageMargins left="0.15748031496062992" right="0.15748031496062992" top="0.3937007874015748" bottom="0.3937007874015748" header="0.11811023622047245" footer="0.11811023622047245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875" style="38" customWidth="1"/>
    <col min="2" max="2" width="59.75390625" style="1" customWidth="1"/>
    <col min="3" max="3" width="17.375" style="82" customWidth="1"/>
    <col min="4" max="4" width="18.25390625" style="82" customWidth="1"/>
    <col min="5" max="5" width="17.375" style="82" customWidth="1"/>
    <col min="6" max="6" width="15.375" style="82" customWidth="1"/>
  </cols>
  <sheetData>
    <row r="1" spans="1:6" ht="19.5" customHeight="1">
      <c r="A1" s="162"/>
      <c r="B1" s="149"/>
      <c r="C1" s="149"/>
      <c r="D1" s="149"/>
      <c r="E1" s="149"/>
      <c r="F1" s="149"/>
    </row>
    <row r="2" spans="1:6" ht="12.75">
      <c r="A2" s="162"/>
      <c r="B2" s="149"/>
      <c r="C2" s="149"/>
      <c r="D2" s="149"/>
      <c r="E2" s="149"/>
      <c r="F2" s="149"/>
    </row>
    <row r="3" spans="1:6" ht="33" customHeight="1">
      <c r="A3" s="163" t="s">
        <v>263</v>
      </c>
      <c r="B3" s="163"/>
      <c r="C3" s="163"/>
      <c r="D3" s="163"/>
      <c r="E3" s="163"/>
      <c r="F3" s="163"/>
    </row>
    <row r="4" spans="1:6" ht="47.25">
      <c r="A4" s="109"/>
      <c r="B4" s="138" t="s">
        <v>249</v>
      </c>
      <c r="C4" s="138" t="s">
        <v>262</v>
      </c>
      <c r="D4" s="138" t="s">
        <v>254</v>
      </c>
      <c r="E4" s="138" t="s">
        <v>68</v>
      </c>
      <c r="F4" s="138" t="s">
        <v>11</v>
      </c>
    </row>
    <row r="5" spans="1:6" ht="75">
      <c r="A5" s="110" t="s">
        <v>71</v>
      </c>
      <c r="B5" s="133" t="s">
        <v>236</v>
      </c>
      <c r="C5" s="134">
        <v>1818.5</v>
      </c>
      <c r="D5" s="134">
        <v>1526.3</v>
      </c>
      <c r="E5" s="136">
        <f aca="true" t="shared" si="0" ref="E5:E11">D5-C5</f>
        <v>-292.20000000000005</v>
      </c>
      <c r="F5" s="136">
        <f aca="true" t="shared" si="1" ref="F5:F11">D5/C5*100</f>
        <v>83.93181193291174</v>
      </c>
    </row>
    <row r="6" spans="1:9" ht="56.25">
      <c r="A6" s="111" t="s">
        <v>14</v>
      </c>
      <c r="B6" s="133" t="s">
        <v>237</v>
      </c>
      <c r="C6" s="134">
        <v>9090.2</v>
      </c>
      <c r="D6" s="134">
        <v>8778.7</v>
      </c>
      <c r="E6" s="136">
        <f t="shared" si="0"/>
        <v>-311.5</v>
      </c>
      <c r="F6" s="136">
        <f t="shared" si="1"/>
        <v>96.57323271215155</v>
      </c>
      <c r="G6" s="47"/>
      <c r="H6" s="47"/>
      <c r="I6" s="83"/>
    </row>
    <row r="7" spans="1:7" ht="56.25">
      <c r="A7" s="111" t="s">
        <v>15</v>
      </c>
      <c r="B7" s="135" t="s">
        <v>238</v>
      </c>
      <c r="C7" s="134">
        <v>33337.7</v>
      </c>
      <c r="D7" s="134">
        <v>33337.7</v>
      </c>
      <c r="E7" s="136">
        <f t="shared" si="0"/>
        <v>0</v>
      </c>
      <c r="F7" s="136">
        <f t="shared" si="1"/>
        <v>100</v>
      </c>
      <c r="G7" s="47"/>
    </row>
    <row r="8" spans="1:7" ht="56.25">
      <c r="A8" s="111" t="s">
        <v>16</v>
      </c>
      <c r="B8" s="135" t="s">
        <v>239</v>
      </c>
      <c r="C8" s="134">
        <v>40704.3</v>
      </c>
      <c r="D8" s="134">
        <v>40704.3</v>
      </c>
      <c r="E8" s="136">
        <f t="shared" si="0"/>
        <v>0</v>
      </c>
      <c r="F8" s="136">
        <f>D8/C8*100</f>
        <v>100</v>
      </c>
      <c r="G8" s="47"/>
    </row>
    <row r="9" spans="1:7" ht="56.25">
      <c r="A9" s="111" t="s">
        <v>26</v>
      </c>
      <c r="B9" s="135" t="s">
        <v>240</v>
      </c>
      <c r="C9" s="134">
        <v>443025.6</v>
      </c>
      <c r="D9" s="134">
        <v>443025.6</v>
      </c>
      <c r="E9" s="136">
        <f t="shared" si="0"/>
        <v>0</v>
      </c>
      <c r="F9" s="136">
        <f t="shared" si="1"/>
        <v>100</v>
      </c>
      <c r="G9" s="47"/>
    </row>
    <row r="10" spans="1:6" ht="75">
      <c r="A10" s="111" t="s">
        <v>20</v>
      </c>
      <c r="B10" s="135" t="s">
        <v>241</v>
      </c>
      <c r="C10" s="134">
        <v>1732.5</v>
      </c>
      <c r="D10" s="134">
        <v>1732.5</v>
      </c>
      <c r="E10" s="136">
        <f t="shared" si="0"/>
        <v>0</v>
      </c>
      <c r="F10" s="136">
        <f t="shared" si="1"/>
        <v>100</v>
      </c>
    </row>
    <row r="11" spans="1:6" ht="56.25">
      <c r="A11" s="111" t="s">
        <v>22</v>
      </c>
      <c r="B11" s="135" t="s">
        <v>242</v>
      </c>
      <c r="C11" s="134">
        <v>1257.8</v>
      </c>
      <c r="D11" s="134">
        <v>1257.8</v>
      </c>
      <c r="E11" s="136">
        <f t="shared" si="0"/>
        <v>0</v>
      </c>
      <c r="F11" s="136">
        <f t="shared" si="1"/>
        <v>100</v>
      </c>
    </row>
    <row r="12" spans="1:6" ht="75">
      <c r="A12" s="111" t="s">
        <v>76</v>
      </c>
      <c r="B12" s="135" t="s">
        <v>243</v>
      </c>
      <c r="C12" s="134">
        <v>3469.2</v>
      </c>
      <c r="D12" s="134">
        <v>3469.2</v>
      </c>
      <c r="E12" s="136">
        <f aca="true" t="shared" si="2" ref="E12:E18">D12-C12</f>
        <v>0</v>
      </c>
      <c r="F12" s="136">
        <f aca="true" t="shared" si="3" ref="F12:F18">D12/C12*100</f>
        <v>100</v>
      </c>
    </row>
    <row r="13" spans="1:6" ht="93.75">
      <c r="A13" s="111" t="s">
        <v>177</v>
      </c>
      <c r="B13" s="135" t="s">
        <v>244</v>
      </c>
      <c r="C13" s="134">
        <v>23216.1</v>
      </c>
      <c r="D13" s="134">
        <v>22727.1</v>
      </c>
      <c r="E13" s="136">
        <f t="shared" si="2"/>
        <v>-489</v>
      </c>
      <c r="F13" s="136">
        <f t="shared" si="3"/>
        <v>97.89370307674416</v>
      </c>
    </row>
    <row r="14" spans="1:6" ht="75">
      <c r="A14" s="111" t="s">
        <v>88</v>
      </c>
      <c r="B14" s="135" t="s">
        <v>245</v>
      </c>
      <c r="C14" s="134">
        <v>290</v>
      </c>
      <c r="D14" s="134">
        <v>290</v>
      </c>
      <c r="E14" s="136">
        <f t="shared" si="2"/>
        <v>0</v>
      </c>
      <c r="F14" s="136">
        <f t="shared" si="3"/>
        <v>100</v>
      </c>
    </row>
    <row r="15" spans="1:7" ht="56.25">
      <c r="A15" s="111" t="s">
        <v>139</v>
      </c>
      <c r="B15" s="135" t="s">
        <v>246</v>
      </c>
      <c r="C15" s="134">
        <v>68901.7</v>
      </c>
      <c r="D15" s="134">
        <v>68901.7</v>
      </c>
      <c r="E15" s="136">
        <f t="shared" si="2"/>
        <v>0</v>
      </c>
      <c r="F15" s="136">
        <f t="shared" si="3"/>
        <v>100</v>
      </c>
      <c r="G15" s="47"/>
    </row>
    <row r="16" spans="1:7" ht="56.25">
      <c r="A16" s="111" t="s">
        <v>174</v>
      </c>
      <c r="B16" s="135" t="s">
        <v>247</v>
      </c>
      <c r="C16" s="134">
        <v>1114</v>
      </c>
      <c r="D16" s="134">
        <v>1114</v>
      </c>
      <c r="E16" s="136">
        <f t="shared" si="2"/>
        <v>0</v>
      </c>
      <c r="F16" s="136">
        <f t="shared" si="3"/>
        <v>100</v>
      </c>
      <c r="G16" s="47"/>
    </row>
    <row r="17" spans="1:7" ht="75">
      <c r="A17" s="111" t="s">
        <v>248</v>
      </c>
      <c r="B17" s="135" t="s">
        <v>250</v>
      </c>
      <c r="C17" s="134">
        <v>1800</v>
      </c>
      <c r="D17" s="134">
        <v>1800</v>
      </c>
      <c r="E17" s="136">
        <f t="shared" si="2"/>
        <v>0</v>
      </c>
      <c r="F17" s="136">
        <f t="shared" si="3"/>
        <v>100</v>
      </c>
      <c r="G17" s="47"/>
    </row>
    <row r="18" spans="1:6" ht="16.5" customHeight="1">
      <c r="A18" s="108" t="s">
        <v>75</v>
      </c>
      <c r="B18" s="86"/>
      <c r="C18" s="137">
        <f>SUM(C5:C17)</f>
        <v>629757.5999999999</v>
      </c>
      <c r="D18" s="137">
        <f>SUM(D5:D17)</f>
        <v>628664.8999999999</v>
      </c>
      <c r="E18" s="137">
        <f t="shared" si="2"/>
        <v>-1092.6999999999534</v>
      </c>
      <c r="F18" s="137">
        <f t="shared" si="3"/>
        <v>99.82648879505385</v>
      </c>
    </row>
    <row r="19" spans="3:6" ht="12.75">
      <c r="C19" s="84"/>
      <c r="D19" s="84"/>
      <c r="E19" s="84"/>
      <c r="F19" s="84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</dc:creator>
  <cp:keywords/>
  <dc:description/>
  <cp:lastModifiedBy>Е.Н.Баданина</cp:lastModifiedBy>
  <cp:lastPrinted>2019-04-09T09:16:14Z</cp:lastPrinted>
  <dcterms:created xsi:type="dcterms:W3CDTF">2008-04-02T04:21:31Z</dcterms:created>
  <dcterms:modified xsi:type="dcterms:W3CDTF">2020-04-22T05:29:25Z</dcterms:modified>
  <cp:category/>
  <cp:version/>
  <cp:contentType/>
  <cp:contentStatus/>
</cp:coreProperties>
</file>